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CTOR\Eduardo\Escenarios BAU-NDC-100RE\"/>
    </mc:Choice>
  </mc:AlternateContent>
  <bookViews>
    <workbookView xWindow="0" yWindow="0" windowWidth="15360" windowHeight="8520" activeTab="1"/>
  </bookViews>
  <sheets>
    <sheet name="Scenario_100%_RE" sheetId="6" r:id="rId1"/>
    <sheet name="Proyectos Adicionales 100%-RE" sheetId="4" r:id="rId2"/>
    <sheet name="Proyectos " sheetId="3" r:id="rId3"/>
    <sheet name="Eficiencia" sheetId="1" r:id="rId4"/>
    <sheet name="Generacion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p" localSheetId="2">#REF!</definedName>
    <definedName name="\p">#REF!</definedName>
    <definedName name="\q" localSheetId="2">#REF!</definedName>
    <definedName name="\q">#REF!</definedName>
    <definedName name="_____PMT23" localSheetId="2">#REF!</definedName>
    <definedName name="_____PMT23">#REF!</definedName>
    <definedName name="_____TR2" localSheetId="2">#REF!</definedName>
    <definedName name="_____TR2">#REF!</definedName>
    <definedName name="____PMT23" localSheetId="2">#REF!</definedName>
    <definedName name="____PMT23">#REF!</definedName>
    <definedName name="____TR2" localSheetId="2">#REF!</definedName>
    <definedName name="____TR2">#REF!</definedName>
    <definedName name="___PMT23" localSheetId="2">#REF!</definedName>
    <definedName name="___PMT23">#REF!</definedName>
    <definedName name="___TR2" localSheetId="2">#REF!</definedName>
    <definedName name="___TR2">#REF!</definedName>
    <definedName name="__PMT23" localSheetId="2">#REF!</definedName>
    <definedName name="__PMT23">#REF!</definedName>
    <definedName name="__TR2" localSheetId="2">#REF!</definedName>
    <definedName name="__TR2">#REF!</definedName>
    <definedName name="_axc2" localSheetId="2">#REF!</definedName>
    <definedName name="_axc2">#REF!</definedName>
    <definedName name="_axc3" localSheetId="2">#REF!</definedName>
    <definedName name="_axc3">#REF!</definedName>
    <definedName name="_Fill" localSheetId="4" hidden="1">[1]Tabla1!$A$13:$A$43</definedName>
    <definedName name="_Fill" localSheetId="2" hidden="1">#REF!</definedName>
    <definedName name="_Fill" hidden="1">#REF!</definedName>
    <definedName name="_PMT23" localSheetId="2">#REF!</definedName>
    <definedName name="_PMT23">#REF!</definedName>
    <definedName name="_Table2_In1">#N/A</definedName>
    <definedName name="_TR2" localSheetId="2">#REF!</definedName>
    <definedName name="_TR2">#REF!</definedName>
    <definedName name="a" localSheetId="2">#REF!</definedName>
    <definedName name="a">#REF!</definedName>
    <definedName name="A_impresión_IM" localSheetId="4">#REF!</definedName>
    <definedName name="A_impresión_IM" localSheetId="2">#REF!</definedName>
    <definedName name="A_impresión_IM">#REF!</definedName>
    <definedName name="aasdew">#N/A</definedName>
    <definedName name="ALTC" localSheetId="2">#REF!</definedName>
    <definedName name="ALTC">#REF!</definedName>
    <definedName name="anex1" localSheetId="2">#REF!</definedName>
    <definedName name="anex1">#REF!</definedName>
    <definedName name="anex2" localSheetId="2">#REF!</definedName>
    <definedName name="anex2">#REF!</definedName>
    <definedName name="anex2a" localSheetId="2">#REF!</definedName>
    <definedName name="anex2a">#REF!</definedName>
    <definedName name="anex2b" localSheetId="2">#REF!</definedName>
    <definedName name="anex2b">#REF!</definedName>
    <definedName name="anex2c" localSheetId="2">#REF!</definedName>
    <definedName name="anex2c">#REF!</definedName>
    <definedName name="anex2d" localSheetId="2">#REF!</definedName>
    <definedName name="anex2d">#REF!</definedName>
    <definedName name="anex3a" localSheetId="2">#REF!</definedName>
    <definedName name="anex3a">#REF!</definedName>
    <definedName name="anex3b" localSheetId="2">#REF!</definedName>
    <definedName name="anex3b">#REF!</definedName>
    <definedName name="anex3c" localSheetId="2">#REF!</definedName>
    <definedName name="anex3c">#REF!</definedName>
    <definedName name="anex3d" localSheetId="2">#REF!</definedName>
    <definedName name="anex3d">#REF!</definedName>
    <definedName name="anex3e" localSheetId="2">#REF!</definedName>
    <definedName name="anex3e">#REF!</definedName>
    <definedName name="anex5a" localSheetId="2">#REF!</definedName>
    <definedName name="anex5a">#REF!</definedName>
    <definedName name="anex5b" localSheetId="2">#REF!</definedName>
    <definedName name="anex5b">#REF!</definedName>
    <definedName name="anex8a" localSheetId="2">#REF!</definedName>
    <definedName name="anex8a">#REF!</definedName>
    <definedName name="anex8b" localSheetId="2">#REF!</definedName>
    <definedName name="anex8b">#REF!</definedName>
    <definedName name="anex8c" localSheetId="2">#REF!</definedName>
    <definedName name="anex8c">#REF!</definedName>
    <definedName name="anex8d" localSheetId="2">#REF!</definedName>
    <definedName name="anex8d">#REF!</definedName>
    <definedName name="anex8e" localSheetId="2">#REF!</definedName>
    <definedName name="anex8e">#REF!</definedName>
    <definedName name="anex8f" localSheetId="2">#REF!</definedName>
    <definedName name="anex8f">#REF!</definedName>
    <definedName name="anexo2bpnf">[2]ANEXO2B!$A$1</definedName>
    <definedName name="anexo863" localSheetId="2">#REF!</definedName>
    <definedName name="anexo863">#REF!</definedName>
    <definedName name="anexo8e" localSheetId="2">#REF!</definedName>
    <definedName name="anexo8e">#REF!</definedName>
    <definedName name="_xlnm.Print_Area" localSheetId="3">Eficiencia!$A$1:$U$69</definedName>
    <definedName name="_xlnm.Print_Area" localSheetId="4">Generacion!$A$1:$J$117</definedName>
    <definedName name="_xlnm.Print_Area" localSheetId="2">#REF!</definedName>
    <definedName name="_xlnm.Print_Area">#REF!</definedName>
    <definedName name="Area1">#N/A</definedName>
    <definedName name="Area2">#N/A</definedName>
    <definedName name="Area4" localSheetId="2">#REF!</definedName>
    <definedName name="Area4">#REF!</definedName>
    <definedName name="Area564" localSheetId="2">#REF!</definedName>
    <definedName name="Area564">#REF!</definedName>
    <definedName name="awfrw">#N/A</definedName>
    <definedName name="axc" localSheetId="2">#REF!</definedName>
    <definedName name="axc">#REF!</definedName>
    <definedName name="axc." localSheetId="2">#REF!</definedName>
    <definedName name="axc.">#REF!</definedName>
    <definedName name="b" localSheetId="2">#REF!</definedName>
    <definedName name="b">#REF!</definedName>
    <definedName name="Base_datos_IM">#N/A</definedName>
    <definedName name="_xlnm.Database" localSheetId="2">#REF!</definedName>
    <definedName name="_xlnm.Database">#REF!</definedName>
    <definedName name="BDATOS">[3]PLANTA!$A$2:$O$70</definedName>
    <definedName name="Bs" localSheetId="2">#REF!</definedName>
    <definedName name="Bs">#REF!</definedName>
    <definedName name="Bs." localSheetId="2">#REF!</definedName>
    <definedName name="Bs.">#REF!</definedName>
    <definedName name="Bss" localSheetId="2">#REF!</definedName>
    <definedName name="Bss">#REF!</definedName>
    <definedName name="C_3" localSheetId="2">#REF!</definedName>
    <definedName name="C_3">#REF!</definedName>
    <definedName name="C_3." localSheetId="2">#REF!</definedName>
    <definedName name="C_3.">#REF!</definedName>
    <definedName name="C_33" localSheetId="2">#REF!</definedName>
    <definedName name="C_33">#REF!</definedName>
    <definedName name="CAMBIOS2" localSheetId="2">#REF!</definedName>
    <definedName name="CAMBIOS2">#REF!</definedName>
    <definedName name="cap" localSheetId="2">#REF!</definedName>
    <definedName name="cap">#REF!</definedName>
    <definedName name="Capacidad" localSheetId="2">#REF!</definedName>
    <definedName name="Capacidad">#REF!</definedName>
    <definedName name="Caract">[4]ANEXOF1!$A$16:$R$172</definedName>
    <definedName name="CBWorkbookPriority" hidden="1">-1553105064</definedName>
    <definedName name="CENTRALES" localSheetId="2">#REF!</definedName>
    <definedName name="CENTRALES">#REF!</definedName>
    <definedName name="Centrales." localSheetId="2">#REF!</definedName>
    <definedName name="Centrales.">#REF!</definedName>
    <definedName name="centrales2" localSheetId="2">#REF!</definedName>
    <definedName name="centrales2">#REF!</definedName>
    <definedName name="CG" localSheetId="2">#REF!</definedName>
    <definedName name="CG">#REF!</definedName>
    <definedName name="CMg" localSheetId="2">#REF!</definedName>
    <definedName name="CMg">#REF!</definedName>
    <definedName name="CMga" localSheetId="2">#REF!</definedName>
    <definedName name="CMga">#REF!</definedName>
    <definedName name="Cobsultor" localSheetId="2">#REF!</definedName>
    <definedName name="Cobsultor">#REF!</definedName>
    <definedName name="COLAPSOB" localSheetId="4" hidden="1">{"'DMAX'!$A$10:$P$43"}</definedName>
    <definedName name="COLAPSOB" hidden="1">{"'DMAX'!$A$10:$P$43"}</definedName>
    <definedName name="colapsosA" localSheetId="4" hidden="1">{"'DMAX'!$A$10:$P$43"}</definedName>
    <definedName name="colapsosA" hidden="1">{"'DMAX'!$A$10:$P$43"}</definedName>
    <definedName name="colapsosA_1" localSheetId="4" hidden="1">{"'DMAX'!$A$10:$P$43"}</definedName>
    <definedName name="colapsosA_1" hidden="1">{"'DMAX'!$A$10:$P$43"}</definedName>
    <definedName name="COMBUSTIBLE" localSheetId="2">#REF!</definedName>
    <definedName name="COMBUSTIBLE">#REF!</definedName>
    <definedName name="combustible." localSheetId="2">#REF!</definedName>
    <definedName name="combustible.">#REF!</definedName>
    <definedName name="combustible2" localSheetId="2">#REF!</definedName>
    <definedName name="combustible2">#REF!</definedName>
    <definedName name="Compos." localSheetId="2">#REF!</definedName>
    <definedName name="Compos.">#REF!</definedName>
    <definedName name="cONTROLA" localSheetId="4" hidden="1">{"'DMAX'!$A$10:$P$43"}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2">#REF!</definedName>
    <definedName name="CUADRO3">#REF!</definedName>
    <definedName name="d_3" localSheetId="2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2">#REF!</definedName>
    <definedName name="dffg">#REF!</definedName>
    <definedName name="dfsaw">#N/A</definedName>
    <definedName name="dfserf" localSheetId="2">#REF!</definedName>
    <definedName name="dfserf">#REF!</definedName>
    <definedName name="dghrtsy" localSheetId="2">#REF!</definedName>
    <definedName name="dghrtsy">#REF!</definedName>
    <definedName name="dsasdfhjkluyfrdebgfrbenhtng" localSheetId="2">#REF!</definedName>
    <definedName name="dsasdfhjkluyfrdebgfrbenhtng">#REF!</definedName>
    <definedName name="dt" localSheetId="2">#REF!</definedName>
    <definedName name="dt">#REF!</definedName>
    <definedName name="e">#N/A</definedName>
    <definedName name="EEEEEE" localSheetId="4" hidden="1">{"'DMAX'!$A$10:$P$43"}</definedName>
    <definedName name="EEEEEE" hidden="1">{"'DMAX'!$A$10:$P$43"}</definedName>
    <definedName name="EEEEEE_1" localSheetId="4" hidden="1">{"'DMAX'!$A$10:$P$43"}</definedName>
    <definedName name="EEEEEE_1" hidden="1">{"'DMAX'!$A$10:$P$43"}</definedName>
    <definedName name="EMBALSES" localSheetId="2">#REF!</definedName>
    <definedName name="EMBALSES">#REF!</definedName>
    <definedName name="embalses." localSheetId="2">#REF!</definedName>
    <definedName name="embalses.">#REF!</definedName>
    <definedName name="embalses2" localSheetId="2">#REF!</definedName>
    <definedName name="embalses2">#REF!</definedName>
    <definedName name="Equivalencia_nombres_clientes">'[7]Nombres distribuidoras'!$F$2:$G$71</definedName>
    <definedName name="erreer" localSheetId="2">#REF!</definedName>
    <definedName name="erreer">#REF!</definedName>
    <definedName name="erreer." localSheetId="2">#REF!</definedName>
    <definedName name="erreer.">#REF!</definedName>
    <definedName name="excelñ" localSheetId="2">#REF!</definedName>
    <definedName name="excelñ">#REF!</definedName>
    <definedName name="FA" localSheetId="2">#REF!</definedName>
    <definedName name="FA">#REF!</definedName>
    <definedName name="falla" localSheetId="4" hidden="1">{"'FLUJO'!$X$101"}</definedName>
    <definedName name="falla" hidden="1">{"'FLUJO'!$X$101"}</definedName>
    <definedName name="falla_1" localSheetId="4" hidden="1">{"'FLUJO'!$X$101"}</definedName>
    <definedName name="falla_1" hidden="1">{"'FLUJO'!$X$101"}</definedName>
    <definedName name="falla1" localSheetId="4" hidden="1">{"'FLUJO'!$X$101"}</definedName>
    <definedName name="falla1" hidden="1">{"'FLUJO'!$X$101"}</definedName>
    <definedName name="fgera">#N/A</definedName>
    <definedName name="fILLL" localSheetId="2" hidden="1">#REF!</definedName>
    <definedName name="fILLL" hidden="1">#REF!</definedName>
    <definedName name="fONDO">[8]FONDO!$A$1:$N$841</definedName>
    <definedName name="GAS" localSheetId="2">#REF!</definedName>
    <definedName name="GAS">#REF!</definedName>
    <definedName name="GB" localSheetId="2">[9]GRAF31!#REF!</definedName>
    <definedName name="GB">[9]GRAF31!#REF!</definedName>
    <definedName name="GBa" localSheetId="2">'[10]GRAF24 '!#REF!</definedName>
    <definedName name="GBa">'[10]GRAF24 '!#REF!</definedName>
    <definedName name="gdr" localSheetId="2">#REF!</definedName>
    <definedName name="gdr">#REF!</definedName>
    <definedName name="GENBRU" localSheetId="2">#REF!</definedName>
    <definedName name="GENBRU">#REF!</definedName>
    <definedName name="GENBRU." localSheetId="2">#REF!</definedName>
    <definedName name="GENBRU.">#REF!</definedName>
    <definedName name="genbru2" localSheetId="2">#REF!</definedName>
    <definedName name="genbru2">#REF!</definedName>
    <definedName name="GENBRUs" localSheetId="2">#REF!</definedName>
    <definedName name="GENBRUs">#REF!</definedName>
    <definedName name="GENERACION" localSheetId="2">#REF!</definedName>
    <definedName name="GENERACION">#REF!</definedName>
    <definedName name="generacion2" localSheetId="2">#REF!</definedName>
    <definedName name="generacion2">#REF!</definedName>
    <definedName name="GENERACION3" localSheetId="2">#REF!</definedName>
    <definedName name="GENERACION3">#REF!</definedName>
    <definedName name="General">'[6]DAT Generales'!$A$22:$J$169</definedName>
    <definedName name="gg" localSheetId="2">#REF!</definedName>
    <definedName name="gg">#REF!</definedName>
    <definedName name="gyuj" localSheetId="2">#REF!</definedName>
    <definedName name="gyuj">#REF!</definedName>
    <definedName name="hdrtwer" localSheetId="2">#REF!</definedName>
    <definedName name="hdrtwer">#REF!</definedName>
    <definedName name="hhh" localSheetId="2">#REF!</definedName>
    <definedName name="hhh">#REF!</definedName>
    <definedName name="HTML_CodePage" hidden="1">1252</definedName>
    <definedName name="HTML_Control" localSheetId="4" hidden="1">{"'FLUJO'!$X$101"}</definedName>
    <definedName name="HTML_Control" hidden="1">{"'DMAX'!$A$10:$P$43"}</definedName>
    <definedName name="HTML_Control_1" localSheetId="4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4" hidden="1">"DATOS"</definedName>
    <definedName name="HTML_Header" hidden="1">"DMAX"</definedName>
    <definedName name="HTML_Header_1" hidden="1">"DMAX"</definedName>
    <definedName name="HTML_LastUpdate" localSheetId="4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4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4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4" hidden="1">"WEBJUN1"</definedName>
    <definedName name="HTML_Title" hidden="1">"estabr"</definedName>
    <definedName name="HTML_Title_1" hidden="1">"estabr"</definedName>
    <definedName name="Imprimir_área_IM" localSheetId="2">#REF!</definedName>
    <definedName name="Imprimir_área_IM">#REF!</definedName>
    <definedName name="IND" localSheetId="2">#REF!</definedName>
    <definedName name="IND">#REF!</definedName>
    <definedName name="indat" localSheetId="2">#REF!</definedName>
    <definedName name="indat">#REF!</definedName>
    <definedName name="inicio" localSheetId="2">#REF!</definedName>
    <definedName name="inicio">#REF!</definedName>
    <definedName name="INYECC" localSheetId="2">#REF!</definedName>
    <definedName name="INYECC">#REF!</definedName>
    <definedName name="inyecc2" localSheetId="2">#REF!</definedName>
    <definedName name="inyecc2">#REF!</definedName>
    <definedName name="IR" localSheetId="2">#REF!</definedName>
    <definedName name="IR">#REF!</definedName>
    <definedName name="IRa" localSheetId="2">#REF!</definedName>
    <definedName name="IRa">#REF!</definedName>
    <definedName name="IVA">[11]MAYO!$B$2</definedName>
    <definedName name="j" localSheetId="2" hidden="1">#REF!</definedName>
    <definedName name="j" hidden="1">#REF!</definedName>
    <definedName name="jg" localSheetId="2">#REF!</definedName>
    <definedName name="jg">#REF!</definedName>
    <definedName name="jjuuygt" localSheetId="2">#REF!</definedName>
    <definedName name="jjuuygt">#REF!</definedName>
    <definedName name="jnmh" localSheetId="2">#REF!</definedName>
    <definedName name="jnmh">#REF!</definedName>
    <definedName name="jtyry" localSheetId="2" hidden="1">#REF!</definedName>
    <definedName name="jtyry" hidden="1">#REF!</definedName>
    <definedName name="KK" localSheetId="2">#REF!</definedName>
    <definedName name="KK">#REF!</definedName>
    <definedName name="klj">#N/A</definedName>
    <definedName name="l">#N/A</definedName>
    <definedName name="lloi" localSheetId="2">#REF!</definedName>
    <definedName name="lloi">#REF!</definedName>
    <definedName name="lnd" localSheetId="2">#REF!</definedName>
    <definedName name="lnd">#REF!</definedName>
    <definedName name="lnp" localSheetId="2">#REF!</definedName>
    <definedName name="lnp">#REF!</definedName>
    <definedName name="lnpib" localSheetId="2">#REF!</definedName>
    <definedName name="lnpib">#REF!</definedName>
    <definedName name="lnx" localSheetId="2">#REF!</definedName>
    <definedName name="lnx">#REF!</definedName>
    <definedName name="lny" localSheetId="2">#REF!</definedName>
    <definedName name="lny">#REF!</definedName>
    <definedName name="lugar" localSheetId="2">#REF!</definedName>
    <definedName name="lugar">#REF!</definedName>
    <definedName name="mbfd" localSheetId="2">#REF!</definedName>
    <definedName name="mbfd">#REF!</definedName>
    <definedName name="MES" localSheetId="2">#REF!</definedName>
    <definedName name="MES">#REF!</definedName>
    <definedName name="meses">[12]FONDO!$R$2:$S$34</definedName>
    <definedName name="MON" localSheetId="2">#REF!</definedName>
    <definedName name="MON">#REF!</definedName>
    <definedName name="pd" localSheetId="2">#REF!</definedName>
    <definedName name="pd">#REF!</definedName>
    <definedName name="PEn" localSheetId="2">#REF!</definedName>
    <definedName name="PEn">#REF!</definedName>
    <definedName name="PF" localSheetId="2">[13]PF!#REF!</definedName>
    <definedName name="PF">[13]PF!#REF!</definedName>
    <definedName name="PFa" localSheetId="2">[13]PF!#REF!</definedName>
    <definedName name="PFa">[13]PF!#REF!</definedName>
    <definedName name="PM">[14]PM!$A$1</definedName>
    <definedName name="PMC">[14]PMC!$A$1</definedName>
    <definedName name="PMT" localSheetId="2">#REF!</definedName>
    <definedName name="PMT">#REF!</definedName>
    <definedName name="pp" localSheetId="2">[13]GB!#REF!</definedName>
    <definedName name="pp">[13]GB!#REF!</definedName>
    <definedName name="ppA" localSheetId="2">[13]GB!#REF!</definedName>
    <definedName name="ppA">[13]GB!#REF!</definedName>
    <definedName name="Print_Area">#REF!</definedName>
    <definedName name="Proyectos_areas" localSheetId="2">#REF!</definedName>
    <definedName name="Proyectos_areas">#REF!</definedName>
    <definedName name="q" localSheetId="2">#REF!</definedName>
    <definedName name="q">#REF!</definedName>
    <definedName name="QWERTY" localSheetId="2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2">#REF!</definedName>
    <definedName name="rerggg">#REF!</definedName>
    <definedName name="rerggg." localSheetId="2">#REF!</definedName>
    <definedName name="rerggg.">#REF!</definedName>
    <definedName name="RETIRO" localSheetId="2">#REF!</definedName>
    <definedName name="RETIRO">#REF!</definedName>
    <definedName name="RETIRO." localSheetId="2">#REF!</definedName>
    <definedName name="RETIRO.">#REF!</definedName>
    <definedName name="retiro2" localSheetId="2">#REF!</definedName>
    <definedName name="retiro2">#REF!</definedName>
    <definedName name="RR" localSheetId="4" hidden="1">{"'DMAX'!$A$10:$P$43"}</definedName>
    <definedName name="RR" hidden="1">{"'DMAX'!$A$10:$P$43"}</definedName>
    <definedName name="RR_1" localSheetId="4" hidden="1">{"'DMAX'!$A$10:$P$43"}</definedName>
    <definedName name="RR_1" hidden="1">{"'DMAX'!$A$10:$P$43"}</definedName>
    <definedName name="rre" localSheetId="2">#REF!</definedName>
    <definedName name="rre">#REF!</definedName>
    <definedName name="rrrrr" localSheetId="2">[9]GRAF31!#REF!</definedName>
    <definedName name="rrrrr">[9]GRAF31!#REF!</definedName>
    <definedName name="s" localSheetId="2">#REF!</definedName>
    <definedName name="s">#REF!</definedName>
    <definedName name="TableName">"Dummy"</definedName>
    <definedName name="tc" localSheetId="2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2">#REF!</definedName>
    <definedName name="TR">#REF!</definedName>
    <definedName name="TRANSACCIONES" localSheetId="2">#REF!</definedName>
    <definedName name="TRANSACCIONES">#REF!</definedName>
    <definedName name="TRANSACCIONES." localSheetId="2">#REF!</definedName>
    <definedName name="TRANSACCIONES.">#REF!</definedName>
    <definedName name="transacciones2" localSheetId="2">#REF!</definedName>
    <definedName name="transacciones2">#REF!</definedName>
    <definedName name="ttt" localSheetId="4" hidden="1">{"'DMAX'!$A$10:$P$43"}</definedName>
    <definedName name="ttt" hidden="1">{"'DMAX'!$A$10:$P$43"}</definedName>
    <definedName name="ttt_1" localSheetId="4" hidden="1">{"'DMAX'!$A$10:$P$43"}</definedName>
    <definedName name="ttt_1" hidden="1">{"'DMAX'!$A$10:$P$43"}</definedName>
    <definedName name="tye" localSheetId="2">#REF!</definedName>
    <definedName name="tye">#REF!</definedName>
    <definedName name="Unidad_Operativa_del_CNDC" localSheetId="2">#REF!</definedName>
    <definedName name="Unidad_Operativa_del_CNDC">#REF!</definedName>
    <definedName name="uuuu" localSheetId="2">#REF!</definedName>
    <definedName name="uuuu">#REF!</definedName>
    <definedName name="vbvbd" localSheetId="2">#REF!</definedName>
    <definedName name="vbvbd">#REF!</definedName>
    <definedName name="vgger" localSheetId="2">#REF!</definedName>
    <definedName name="vgger">#REF!</definedName>
    <definedName name="wwww" localSheetId="2">#REF!</definedName>
    <definedName name="wwww">#REF!</definedName>
    <definedName name="wwwww" localSheetId="2">#REF!</definedName>
    <definedName name="wwwww">#REF!</definedName>
    <definedName name="x" localSheetId="4" hidden="1">{"'FLUJO'!$X$101"}</definedName>
    <definedName name="x" hidden="1">{"'FLUJO'!$X$101"}</definedName>
    <definedName name="x_1" localSheetId="4" hidden="1">{"'FLUJO'!$X$101"}</definedName>
    <definedName name="x_1" hidden="1">{"'FLUJO'!$X$101"}</definedName>
    <definedName name="xA" localSheetId="4" hidden="1">{"'FLUJO'!$X$101"}</definedName>
    <definedName name="xA" hidden="1">{"'FLUJO'!$X$101"}</definedName>
    <definedName name="y" localSheetId="2">#REF!</definedName>
    <definedName name="y">#REF!</definedName>
    <definedName name="z" localSheetId="4" hidden="1">{"'DMAX'!$A$10:$P$43"}</definedName>
    <definedName name="z" hidden="1">{"'DMAX'!$A$10:$P$43"}</definedName>
    <definedName name="zxx" localSheetId="2">#REF!</definedName>
    <definedName name="z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4" i="4" l="1"/>
  <c r="B82" i="4"/>
  <c r="B76" i="4"/>
  <c r="B70" i="4"/>
  <c r="B68" i="4"/>
  <c r="B66" i="4"/>
  <c r="B47" i="4"/>
  <c r="B45" i="4"/>
  <c r="B43" i="4"/>
  <c r="D41" i="4"/>
  <c r="B41" i="4"/>
  <c r="B39" i="4"/>
  <c r="B37" i="4"/>
  <c r="B35" i="4"/>
  <c r="B33" i="4"/>
  <c r="B31" i="4"/>
  <c r="B29" i="4"/>
  <c r="B27" i="4"/>
  <c r="B25" i="4"/>
  <c r="B23" i="4"/>
  <c r="B18" i="4"/>
  <c r="B16" i="4"/>
  <c r="B14" i="4"/>
  <c r="B12" i="4"/>
  <c r="B10" i="4"/>
  <c r="O347" i="6"/>
  <c r="P347" i="6" s="1"/>
  <c r="Q347" i="6" s="1"/>
  <c r="R347" i="6" s="1"/>
  <c r="S347" i="6" s="1"/>
  <c r="T347" i="6" s="1"/>
  <c r="U347" i="6" s="1"/>
  <c r="V347" i="6" s="1"/>
  <c r="W347" i="6" s="1"/>
  <c r="X347" i="6" s="1"/>
  <c r="Y347" i="6" s="1"/>
  <c r="Z347" i="6" s="1"/>
  <c r="AA347" i="6" s="1"/>
  <c r="O346" i="6"/>
  <c r="P346" i="6" s="1"/>
  <c r="N344" i="6"/>
  <c r="M344" i="6"/>
  <c r="L344" i="6"/>
  <c r="K344" i="6"/>
  <c r="J344" i="6"/>
  <c r="I344" i="6"/>
  <c r="H344" i="6"/>
  <c r="G344" i="6"/>
  <c r="S340" i="6"/>
  <c r="T340" i="6" s="1"/>
  <c r="U340" i="6" s="1"/>
  <c r="V340" i="6" s="1"/>
  <c r="W340" i="6" s="1"/>
  <c r="X340" i="6" s="1"/>
  <c r="Y340" i="6" s="1"/>
  <c r="Z340" i="6" s="1"/>
  <c r="AA340" i="6" s="1"/>
  <c r="O340" i="6"/>
  <c r="P340" i="6" s="1"/>
  <c r="Q340" i="6" s="1"/>
  <c r="R340" i="6" s="1"/>
  <c r="P338" i="6"/>
  <c r="Q338" i="6" s="1"/>
  <c r="R338" i="6" s="1"/>
  <c r="S338" i="6" s="1"/>
  <c r="T338" i="6" s="1"/>
  <c r="U338" i="6" s="1"/>
  <c r="V338" i="6" s="1"/>
  <c r="W338" i="6" s="1"/>
  <c r="X338" i="6" s="1"/>
  <c r="Y338" i="6" s="1"/>
  <c r="Z338" i="6" s="1"/>
  <c r="AA338" i="6" s="1"/>
  <c r="O338" i="6"/>
  <c r="O337" i="6"/>
  <c r="O335" i="6" s="1"/>
  <c r="N335" i="6"/>
  <c r="M335" i="6"/>
  <c r="L335" i="6"/>
  <c r="K335" i="6"/>
  <c r="J335" i="6"/>
  <c r="I335" i="6"/>
  <c r="H335" i="6"/>
  <c r="G335" i="6"/>
  <c r="O331" i="6"/>
  <c r="P331" i="6" s="1"/>
  <c r="Q331" i="6" s="1"/>
  <c r="R331" i="6" s="1"/>
  <c r="S331" i="6" s="1"/>
  <c r="T331" i="6" s="1"/>
  <c r="U331" i="6" s="1"/>
  <c r="V331" i="6" s="1"/>
  <c r="W331" i="6" s="1"/>
  <c r="X331" i="6" s="1"/>
  <c r="Y331" i="6" s="1"/>
  <c r="Z331" i="6" s="1"/>
  <c r="AA331" i="6" s="1"/>
  <c r="T329" i="6"/>
  <c r="U329" i="6" s="1"/>
  <c r="V329" i="6" s="1"/>
  <c r="W329" i="6" s="1"/>
  <c r="X329" i="6" s="1"/>
  <c r="Y329" i="6" s="1"/>
  <c r="Z329" i="6" s="1"/>
  <c r="AA329" i="6" s="1"/>
  <c r="O329" i="6"/>
  <c r="P329" i="6" s="1"/>
  <c r="Q329" i="6" s="1"/>
  <c r="R329" i="6" s="1"/>
  <c r="S329" i="6" s="1"/>
  <c r="Q327" i="6"/>
  <c r="R327" i="6" s="1"/>
  <c r="S327" i="6" s="1"/>
  <c r="T327" i="6" s="1"/>
  <c r="U327" i="6" s="1"/>
  <c r="V327" i="6" s="1"/>
  <c r="W327" i="6" s="1"/>
  <c r="X327" i="6" s="1"/>
  <c r="Y327" i="6" s="1"/>
  <c r="Z327" i="6" s="1"/>
  <c r="AA327" i="6" s="1"/>
  <c r="O327" i="6"/>
  <c r="P327" i="6" s="1"/>
  <c r="V325" i="6"/>
  <c r="W325" i="6" s="1"/>
  <c r="X325" i="6" s="1"/>
  <c r="Y325" i="6" s="1"/>
  <c r="Z325" i="6" s="1"/>
  <c r="AA325" i="6" s="1"/>
  <c r="Q325" i="6"/>
  <c r="R325" i="6" s="1"/>
  <c r="S325" i="6" s="1"/>
  <c r="T325" i="6" s="1"/>
  <c r="U325" i="6" s="1"/>
  <c r="P325" i="6"/>
  <c r="O325" i="6"/>
  <c r="O324" i="6"/>
  <c r="P324" i="6" s="1"/>
  <c r="Q324" i="6" s="1"/>
  <c r="R324" i="6" s="1"/>
  <c r="S324" i="6" s="1"/>
  <c r="T324" i="6" s="1"/>
  <c r="U324" i="6" s="1"/>
  <c r="V324" i="6" s="1"/>
  <c r="W324" i="6" s="1"/>
  <c r="X324" i="6" s="1"/>
  <c r="Y324" i="6" s="1"/>
  <c r="Z324" i="6" s="1"/>
  <c r="AA324" i="6" s="1"/>
  <c r="P322" i="6"/>
  <c r="Q322" i="6" s="1"/>
  <c r="R322" i="6" s="1"/>
  <c r="S322" i="6" s="1"/>
  <c r="T322" i="6" s="1"/>
  <c r="U322" i="6" s="1"/>
  <c r="V322" i="6" s="1"/>
  <c r="W322" i="6" s="1"/>
  <c r="X322" i="6" s="1"/>
  <c r="Y322" i="6" s="1"/>
  <c r="Z322" i="6" s="1"/>
  <c r="AA322" i="6" s="1"/>
  <c r="O322" i="6"/>
  <c r="P320" i="6"/>
  <c r="Q320" i="6" s="1"/>
  <c r="R320" i="6" s="1"/>
  <c r="S320" i="6" s="1"/>
  <c r="T320" i="6" s="1"/>
  <c r="U320" i="6" s="1"/>
  <c r="V320" i="6" s="1"/>
  <c r="W320" i="6" s="1"/>
  <c r="X320" i="6" s="1"/>
  <c r="Y320" i="6" s="1"/>
  <c r="Z320" i="6" s="1"/>
  <c r="AA320" i="6" s="1"/>
  <c r="O320" i="6"/>
  <c r="R319" i="6"/>
  <c r="S319" i="6" s="1"/>
  <c r="T319" i="6" s="1"/>
  <c r="U319" i="6" s="1"/>
  <c r="V319" i="6" s="1"/>
  <c r="W319" i="6" s="1"/>
  <c r="X319" i="6" s="1"/>
  <c r="Y319" i="6" s="1"/>
  <c r="Z319" i="6" s="1"/>
  <c r="AA319" i="6" s="1"/>
  <c r="P319" i="6"/>
  <c r="Q319" i="6" s="1"/>
  <c r="O319" i="6"/>
  <c r="O317" i="6"/>
  <c r="P317" i="6" s="1"/>
  <c r="Q317" i="6" s="1"/>
  <c r="R317" i="6" s="1"/>
  <c r="S317" i="6" s="1"/>
  <c r="T317" i="6" s="1"/>
  <c r="U317" i="6" s="1"/>
  <c r="V317" i="6" s="1"/>
  <c r="W317" i="6" s="1"/>
  <c r="X317" i="6" s="1"/>
  <c r="Y317" i="6" s="1"/>
  <c r="Z317" i="6" s="1"/>
  <c r="AA317" i="6" s="1"/>
  <c r="T315" i="6"/>
  <c r="U315" i="6" s="1"/>
  <c r="V315" i="6" s="1"/>
  <c r="W315" i="6" s="1"/>
  <c r="X315" i="6" s="1"/>
  <c r="Y315" i="6" s="1"/>
  <c r="Z315" i="6" s="1"/>
  <c r="AA315" i="6" s="1"/>
  <c r="O315" i="6"/>
  <c r="P315" i="6" s="1"/>
  <c r="Q315" i="6" s="1"/>
  <c r="R315" i="6" s="1"/>
  <c r="S315" i="6" s="1"/>
  <c r="Q314" i="6"/>
  <c r="R314" i="6" s="1"/>
  <c r="S314" i="6" s="1"/>
  <c r="T314" i="6" s="1"/>
  <c r="U314" i="6" s="1"/>
  <c r="V314" i="6" s="1"/>
  <c r="W314" i="6" s="1"/>
  <c r="X314" i="6" s="1"/>
  <c r="Y314" i="6" s="1"/>
  <c r="Z314" i="6" s="1"/>
  <c r="AA314" i="6" s="1"/>
  <c r="O314" i="6"/>
  <c r="P314" i="6" s="1"/>
  <c r="V312" i="6"/>
  <c r="W312" i="6" s="1"/>
  <c r="X312" i="6" s="1"/>
  <c r="Y312" i="6" s="1"/>
  <c r="Z312" i="6" s="1"/>
  <c r="AA312" i="6" s="1"/>
  <c r="P312" i="6"/>
  <c r="Q312" i="6" s="1"/>
  <c r="R312" i="6" s="1"/>
  <c r="S312" i="6" s="1"/>
  <c r="T312" i="6" s="1"/>
  <c r="U312" i="6" s="1"/>
  <c r="O312" i="6"/>
  <c r="AA310" i="6"/>
  <c r="S310" i="6"/>
  <c r="T310" i="6" s="1"/>
  <c r="U310" i="6" s="1"/>
  <c r="V310" i="6" s="1"/>
  <c r="W310" i="6" s="1"/>
  <c r="X310" i="6" s="1"/>
  <c r="Y310" i="6" s="1"/>
  <c r="Z310" i="6" s="1"/>
  <c r="O310" i="6"/>
  <c r="P310" i="6" s="1"/>
  <c r="Q310" i="6" s="1"/>
  <c r="R310" i="6" s="1"/>
  <c r="X308" i="6"/>
  <c r="Y308" i="6" s="1"/>
  <c r="Z308" i="6" s="1"/>
  <c r="AA308" i="6" s="1"/>
  <c r="P308" i="6"/>
  <c r="Q308" i="6" s="1"/>
  <c r="R308" i="6" s="1"/>
  <c r="S308" i="6" s="1"/>
  <c r="T308" i="6" s="1"/>
  <c r="U308" i="6" s="1"/>
  <c r="V308" i="6" s="1"/>
  <c r="W308" i="6" s="1"/>
  <c r="O308" i="6"/>
  <c r="O307" i="6"/>
  <c r="P307" i="6" s="1"/>
  <c r="Q307" i="6" s="1"/>
  <c r="R307" i="6" s="1"/>
  <c r="S307" i="6" s="1"/>
  <c r="T307" i="6" s="1"/>
  <c r="U307" i="6" s="1"/>
  <c r="V307" i="6" s="1"/>
  <c r="W307" i="6" s="1"/>
  <c r="X307" i="6" s="1"/>
  <c r="Y307" i="6" s="1"/>
  <c r="Z307" i="6" s="1"/>
  <c r="AA307" i="6" s="1"/>
  <c r="Z305" i="6"/>
  <c r="AA305" i="6" s="1"/>
  <c r="R305" i="6"/>
  <c r="S305" i="6" s="1"/>
  <c r="T305" i="6" s="1"/>
  <c r="U305" i="6" s="1"/>
  <c r="V305" i="6" s="1"/>
  <c r="W305" i="6" s="1"/>
  <c r="X305" i="6" s="1"/>
  <c r="Y305" i="6" s="1"/>
  <c r="P305" i="6"/>
  <c r="Q305" i="6" s="1"/>
  <c r="O305" i="6"/>
  <c r="O303" i="6"/>
  <c r="P303" i="6" s="1"/>
  <c r="Q303" i="6" s="1"/>
  <c r="R303" i="6" s="1"/>
  <c r="S303" i="6" s="1"/>
  <c r="T303" i="6" s="1"/>
  <c r="U303" i="6" s="1"/>
  <c r="V303" i="6" s="1"/>
  <c r="W303" i="6" s="1"/>
  <c r="X303" i="6" s="1"/>
  <c r="Y303" i="6" s="1"/>
  <c r="Z303" i="6" s="1"/>
  <c r="AA303" i="6" s="1"/>
  <c r="O301" i="6"/>
  <c r="P301" i="6" s="1"/>
  <c r="Q301" i="6" s="1"/>
  <c r="R301" i="6" s="1"/>
  <c r="S301" i="6" s="1"/>
  <c r="T301" i="6" s="1"/>
  <c r="U301" i="6" s="1"/>
  <c r="V301" i="6" s="1"/>
  <c r="W301" i="6" s="1"/>
  <c r="X301" i="6" s="1"/>
  <c r="Y301" i="6" s="1"/>
  <c r="Z301" i="6" s="1"/>
  <c r="AA301" i="6" s="1"/>
  <c r="Y299" i="6"/>
  <c r="Z299" i="6" s="1"/>
  <c r="AA299" i="6" s="1"/>
  <c r="Q299" i="6"/>
  <c r="R299" i="6" s="1"/>
  <c r="S299" i="6" s="1"/>
  <c r="T299" i="6" s="1"/>
  <c r="U299" i="6" s="1"/>
  <c r="V299" i="6" s="1"/>
  <c r="W299" i="6" s="1"/>
  <c r="X299" i="6" s="1"/>
  <c r="O299" i="6"/>
  <c r="P299" i="6" s="1"/>
  <c r="V298" i="6"/>
  <c r="W298" i="6" s="1"/>
  <c r="X298" i="6" s="1"/>
  <c r="Y298" i="6" s="1"/>
  <c r="Z298" i="6" s="1"/>
  <c r="AA298" i="6" s="1"/>
  <c r="P298" i="6"/>
  <c r="Q298" i="6" s="1"/>
  <c r="R298" i="6" s="1"/>
  <c r="S298" i="6" s="1"/>
  <c r="T298" i="6" s="1"/>
  <c r="U298" i="6" s="1"/>
  <c r="O298" i="6"/>
  <c r="S296" i="6"/>
  <c r="T296" i="6" s="1"/>
  <c r="U296" i="6" s="1"/>
  <c r="V296" i="6" s="1"/>
  <c r="W296" i="6" s="1"/>
  <c r="X296" i="6" s="1"/>
  <c r="Y296" i="6" s="1"/>
  <c r="Z296" i="6" s="1"/>
  <c r="AA296" i="6" s="1"/>
  <c r="O296" i="6"/>
  <c r="P296" i="6" s="1"/>
  <c r="Q296" i="6" s="1"/>
  <c r="R296" i="6" s="1"/>
  <c r="X295" i="6"/>
  <c r="Y295" i="6" s="1"/>
  <c r="Z295" i="6" s="1"/>
  <c r="AA295" i="6" s="1"/>
  <c r="P295" i="6"/>
  <c r="Q295" i="6" s="1"/>
  <c r="R295" i="6" s="1"/>
  <c r="S295" i="6" s="1"/>
  <c r="T295" i="6" s="1"/>
  <c r="U295" i="6" s="1"/>
  <c r="V295" i="6" s="1"/>
  <c r="W295" i="6" s="1"/>
  <c r="O295" i="6"/>
  <c r="O293" i="6"/>
  <c r="P293" i="6" s="1"/>
  <c r="Q293" i="6" s="1"/>
  <c r="R293" i="6" s="1"/>
  <c r="S293" i="6" s="1"/>
  <c r="T293" i="6" s="1"/>
  <c r="U293" i="6" s="1"/>
  <c r="V293" i="6" s="1"/>
  <c r="W293" i="6" s="1"/>
  <c r="X293" i="6" s="1"/>
  <c r="Y293" i="6" s="1"/>
  <c r="Z293" i="6" s="1"/>
  <c r="AA293" i="6" s="1"/>
  <c r="R292" i="6"/>
  <c r="S292" i="6" s="1"/>
  <c r="T292" i="6" s="1"/>
  <c r="U292" i="6" s="1"/>
  <c r="V292" i="6" s="1"/>
  <c r="W292" i="6" s="1"/>
  <c r="X292" i="6" s="1"/>
  <c r="Y292" i="6" s="1"/>
  <c r="Z292" i="6" s="1"/>
  <c r="AA292" i="6" s="1"/>
  <c r="P292" i="6"/>
  <c r="Q292" i="6" s="1"/>
  <c r="O292" i="6"/>
  <c r="O291" i="6"/>
  <c r="P291" i="6" s="1"/>
  <c r="Q291" i="6" s="1"/>
  <c r="R291" i="6" s="1"/>
  <c r="S291" i="6" s="1"/>
  <c r="T291" i="6" s="1"/>
  <c r="U291" i="6" s="1"/>
  <c r="V291" i="6" s="1"/>
  <c r="W291" i="6" s="1"/>
  <c r="X291" i="6" s="1"/>
  <c r="Y291" i="6" s="1"/>
  <c r="Z291" i="6" s="1"/>
  <c r="AA291" i="6" s="1"/>
  <c r="O290" i="6"/>
  <c r="P290" i="6" s="1"/>
  <c r="Q290" i="6" s="1"/>
  <c r="R290" i="6" s="1"/>
  <c r="S290" i="6" s="1"/>
  <c r="T290" i="6" s="1"/>
  <c r="U290" i="6" s="1"/>
  <c r="V290" i="6" s="1"/>
  <c r="W290" i="6" s="1"/>
  <c r="X290" i="6" s="1"/>
  <c r="Y290" i="6" s="1"/>
  <c r="Z290" i="6" s="1"/>
  <c r="AA290" i="6" s="1"/>
  <c r="Q289" i="6"/>
  <c r="R289" i="6" s="1"/>
  <c r="S289" i="6" s="1"/>
  <c r="T289" i="6" s="1"/>
  <c r="U289" i="6" s="1"/>
  <c r="V289" i="6" s="1"/>
  <c r="W289" i="6" s="1"/>
  <c r="X289" i="6" s="1"/>
  <c r="Y289" i="6" s="1"/>
  <c r="Z289" i="6" s="1"/>
  <c r="AA289" i="6" s="1"/>
  <c r="O289" i="6"/>
  <c r="P289" i="6" s="1"/>
  <c r="V287" i="6"/>
  <c r="W287" i="6" s="1"/>
  <c r="X287" i="6" s="1"/>
  <c r="Y287" i="6" s="1"/>
  <c r="Z287" i="6" s="1"/>
  <c r="AA287" i="6" s="1"/>
  <c r="P287" i="6"/>
  <c r="Q287" i="6" s="1"/>
  <c r="R287" i="6" s="1"/>
  <c r="S287" i="6" s="1"/>
  <c r="T287" i="6" s="1"/>
  <c r="U287" i="6" s="1"/>
  <c r="O287" i="6"/>
  <c r="S285" i="6"/>
  <c r="T285" i="6" s="1"/>
  <c r="U285" i="6" s="1"/>
  <c r="V285" i="6" s="1"/>
  <c r="W285" i="6" s="1"/>
  <c r="X285" i="6" s="1"/>
  <c r="Y285" i="6" s="1"/>
  <c r="Z285" i="6" s="1"/>
  <c r="AA285" i="6" s="1"/>
  <c r="O285" i="6"/>
  <c r="P285" i="6" s="1"/>
  <c r="Q285" i="6" s="1"/>
  <c r="R285" i="6" s="1"/>
  <c r="X284" i="6"/>
  <c r="Y284" i="6" s="1"/>
  <c r="Z284" i="6" s="1"/>
  <c r="AA284" i="6" s="1"/>
  <c r="P284" i="6"/>
  <c r="Q284" i="6" s="1"/>
  <c r="R284" i="6" s="1"/>
  <c r="S284" i="6" s="1"/>
  <c r="T284" i="6" s="1"/>
  <c r="U284" i="6" s="1"/>
  <c r="V284" i="6" s="1"/>
  <c r="W284" i="6" s="1"/>
  <c r="O284" i="6"/>
  <c r="O282" i="6"/>
  <c r="V281" i="6"/>
  <c r="W281" i="6" s="1"/>
  <c r="X281" i="6" s="1"/>
  <c r="Y281" i="6" s="1"/>
  <c r="Z281" i="6" s="1"/>
  <c r="AA281" i="6" s="1"/>
  <c r="P281" i="6"/>
  <c r="Q281" i="6" s="1"/>
  <c r="R281" i="6" s="1"/>
  <c r="S281" i="6" s="1"/>
  <c r="T281" i="6" s="1"/>
  <c r="U281" i="6" s="1"/>
  <c r="O281" i="6"/>
  <c r="S280" i="6"/>
  <c r="T280" i="6" s="1"/>
  <c r="U280" i="6" s="1"/>
  <c r="V280" i="6" s="1"/>
  <c r="W280" i="6" s="1"/>
  <c r="X280" i="6" s="1"/>
  <c r="Y280" i="6" s="1"/>
  <c r="Z280" i="6" s="1"/>
  <c r="AA280" i="6" s="1"/>
  <c r="O280" i="6"/>
  <c r="P280" i="6" s="1"/>
  <c r="Q280" i="6" s="1"/>
  <c r="R280" i="6" s="1"/>
  <c r="X278" i="6"/>
  <c r="Y278" i="6" s="1"/>
  <c r="Z278" i="6" s="1"/>
  <c r="AA278" i="6" s="1"/>
  <c r="P278" i="6"/>
  <c r="Q278" i="6" s="1"/>
  <c r="R278" i="6" s="1"/>
  <c r="S278" i="6" s="1"/>
  <c r="T278" i="6" s="1"/>
  <c r="U278" i="6" s="1"/>
  <c r="V278" i="6" s="1"/>
  <c r="W278" i="6" s="1"/>
  <c r="O278" i="6"/>
  <c r="O277" i="6"/>
  <c r="P277" i="6" s="1"/>
  <c r="Q277" i="6" s="1"/>
  <c r="R277" i="6" s="1"/>
  <c r="S277" i="6" s="1"/>
  <c r="T277" i="6" s="1"/>
  <c r="U277" i="6" s="1"/>
  <c r="V277" i="6" s="1"/>
  <c r="W277" i="6" s="1"/>
  <c r="X277" i="6" s="1"/>
  <c r="Y277" i="6" s="1"/>
  <c r="Z277" i="6" s="1"/>
  <c r="AA277" i="6" s="1"/>
  <c r="R275" i="6"/>
  <c r="S275" i="6" s="1"/>
  <c r="T275" i="6" s="1"/>
  <c r="U275" i="6" s="1"/>
  <c r="V275" i="6" s="1"/>
  <c r="W275" i="6" s="1"/>
  <c r="X275" i="6" s="1"/>
  <c r="Y275" i="6" s="1"/>
  <c r="Z275" i="6" s="1"/>
  <c r="AA275" i="6" s="1"/>
  <c r="P275" i="6"/>
  <c r="Q275" i="6" s="1"/>
  <c r="O275" i="6"/>
  <c r="O273" i="6"/>
  <c r="P273" i="6" s="1"/>
  <c r="Q273" i="6" s="1"/>
  <c r="R273" i="6" s="1"/>
  <c r="S273" i="6" s="1"/>
  <c r="T273" i="6" s="1"/>
  <c r="U273" i="6" s="1"/>
  <c r="V273" i="6" s="1"/>
  <c r="W273" i="6" s="1"/>
  <c r="X273" i="6" s="1"/>
  <c r="Y273" i="6" s="1"/>
  <c r="Z273" i="6" s="1"/>
  <c r="AA273" i="6" s="1"/>
  <c r="T272" i="6"/>
  <c r="U272" i="6" s="1"/>
  <c r="V272" i="6" s="1"/>
  <c r="W272" i="6" s="1"/>
  <c r="X272" i="6" s="1"/>
  <c r="Y272" i="6" s="1"/>
  <c r="Z272" i="6" s="1"/>
  <c r="AA272" i="6" s="1"/>
  <c r="O272" i="6"/>
  <c r="P272" i="6" s="1"/>
  <c r="Q272" i="6" s="1"/>
  <c r="R272" i="6" s="1"/>
  <c r="S272" i="6" s="1"/>
  <c r="O270" i="6"/>
  <c r="P269" i="6"/>
  <c r="Q269" i="6" s="1"/>
  <c r="R269" i="6" s="1"/>
  <c r="S269" i="6" s="1"/>
  <c r="T269" i="6" s="1"/>
  <c r="U269" i="6" s="1"/>
  <c r="V269" i="6" s="1"/>
  <c r="W269" i="6" s="1"/>
  <c r="X269" i="6" s="1"/>
  <c r="Y269" i="6" s="1"/>
  <c r="Z269" i="6" s="1"/>
  <c r="AA269" i="6" s="1"/>
  <c r="O269" i="6"/>
  <c r="AA268" i="6"/>
  <c r="O268" i="6"/>
  <c r="P268" i="6" s="1"/>
  <c r="Q268" i="6" s="1"/>
  <c r="R268" i="6" s="1"/>
  <c r="S268" i="6" s="1"/>
  <c r="T268" i="6" s="1"/>
  <c r="U268" i="6" s="1"/>
  <c r="V268" i="6" s="1"/>
  <c r="W268" i="6" s="1"/>
  <c r="X268" i="6" s="1"/>
  <c r="Y268" i="6" s="1"/>
  <c r="Z268" i="6" s="1"/>
  <c r="P266" i="6"/>
  <c r="Q266" i="6" s="1"/>
  <c r="R266" i="6" s="1"/>
  <c r="S266" i="6" s="1"/>
  <c r="T266" i="6" s="1"/>
  <c r="U266" i="6" s="1"/>
  <c r="V266" i="6" s="1"/>
  <c r="W266" i="6" s="1"/>
  <c r="X266" i="6" s="1"/>
  <c r="Y266" i="6" s="1"/>
  <c r="Z266" i="6" s="1"/>
  <c r="AA266" i="6" s="1"/>
  <c r="O266" i="6"/>
  <c r="P265" i="6"/>
  <c r="Q265" i="6" s="1"/>
  <c r="R265" i="6" s="1"/>
  <c r="S265" i="6" s="1"/>
  <c r="T265" i="6" s="1"/>
  <c r="U265" i="6" s="1"/>
  <c r="V265" i="6" s="1"/>
  <c r="W265" i="6" s="1"/>
  <c r="X265" i="6" s="1"/>
  <c r="Y265" i="6" s="1"/>
  <c r="Z265" i="6" s="1"/>
  <c r="AA265" i="6" s="1"/>
  <c r="O265" i="6"/>
  <c r="Q264" i="6"/>
  <c r="P264" i="6"/>
  <c r="O264" i="6"/>
  <c r="N262" i="6"/>
  <c r="M262" i="6"/>
  <c r="L262" i="6"/>
  <c r="K262" i="6"/>
  <c r="J262" i="6"/>
  <c r="I262" i="6"/>
  <c r="I38" i="6" s="1"/>
  <c r="H262" i="6"/>
  <c r="G262" i="6"/>
  <c r="Y258" i="6"/>
  <c r="X258" i="6"/>
  <c r="W258" i="6"/>
  <c r="V258" i="6"/>
  <c r="U258" i="6"/>
  <c r="T258" i="6"/>
  <c r="S258" i="6"/>
  <c r="R258" i="6"/>
  <c r="Q258" i="6"/>
  <c r="P258" i="6"/>
  <c r="O258" i="6"/>
  <c r="F258" i="6"/>
  <c r="Q257" i="6"/>
  <c r="P257" i="6"/>
  <c r="O257" i="6"/>
  <c r="F257" i="6"/>
  <c r="P256" i="6"/>
  <c r="O256" i="6"/>
  <c r="F256" i="6"/>
  <c r="P255" i="6"/>
  <c r="O255" i="6"/>
  <c r="F255" i="6"/>
  <c r="P254" i="6"/>
  <c r="O254" i="6"/>
  <c r="F254" i="6"/>
  <c r="F252" i="6"/>
  <c r="F251" i="6"/>
  <c r="F250" i="6"/>
  <c r="F249" i="6"/>
  <c r="F248" i="6"/>
  <c r="F247" i="6"/>
  <c r="F246" i="6"/>
  <c r="F245" i="6"/>
  <c r="P244" i="6"/>
  <c r="O244" i="6"/>
  <c r="F244" i="6"/>
  <c r="O243" i="6"/>
  <c r="P243" i="6" s="1"/>
  <c r="Q243" i="6" s="1"/>
  <c r="R243" i="6" s="1"/>
  <c r="S243" i="6" s="1"/>
  <c r="T243" i="6" s="1"/>
  <c r="U243" i="6" s="1"/>
  <c r="V243" i="6" s="1"/>
  <c r="W243" i="6" s="1"/>
  <c r="X243" i="6" s="1"/>
  <c r="Y243" i="6" s="1"/>
  <c r="F243" i="6"/>
  <c r="O242" i="6"/>
  <c r="P242" i="6" s="1"/>
  <c r="Q242" i="6" s="1"/>
  <c r="R242" i="6" s="1"/>
  <c r="S242" i="6" s="1"/>
  <c r="T242" i="6" s="1"/>
  <c r="U242" i="6" s="1"/>
  <c r="V242" i="6" s="1"/>
  <c r="W242" i="6" s="1"/>
  <c r="X242" i="6" s="1"/>
  <c r="Y242" i="6" s="1"/>
  <c r="F242" i="6"/>
  <c r="Q241" i="6"/>
  <c r="R241" i="6" s="1"/>
  <c r="S241" i="6" s="1"/>
  <c r="T241" i="6" s="1"/>
  <c r="U241" i="6" s="1"/>
  <c r="V241" i="6" s="1"/>
  <c r="W241" i="6" s="1"/>
  <c r="X241" i="6" s="1"/>
  <c r="Y241" i="6" s="1"/>
  <c r="P241" i="6"/>
  <c r="O241" i="6"/>
  <c r="F241" i="6"/>
  <c r="O240" i="6"/>
  <c r="P240" i="6" s="1"/>
  <c r="Q240" i="6" s="1"/>
  <c r="R240" i="6" s="1"/>
  <c r="S240" i="6" s="1"/>
  <c r="T240" i="6" s="1"/>
  <c r="U240" i="6" s="1"/>
  <c r="V240" i="6" s="1"/>
  <c r="W240" i="6" s="1"/>
  <c r="X240" i="6" s="1"/>
  <c r="Y240" i="6" s="1"/>
  <c r="F240" i="6"/>
  <c r="P238" i="6"/>
  <c r="O238" i="6"/>
  <c r="F238" i="6"/>
  <c r="P237" i="6"/>
  <c r="O237" i="6"/>
  <c r="F237" i="6"/>
  <c r="Q235" i="6"/>
  <c r="P235" i="6"/>
  <c r="O235" i="6"/>
  <c r="F235" i="6"/>
  <c r="Q234" i="6"/>
  <c r="P234" i="6"/>
  <c r="O234" i="6"/>
  <c r="F234" i="6"/>
  <c r="P232" i="6"/>
  <c r="O232" i="6"/>
  <c r="F232" i="6"/>
  <c r="Y230" i="6"/>
  <c r="X230" i="6"/>
  <c r="W230" i="6"/>
  <c r="V230" i="6"/>
  <c r="U230" i="6"/>
  <c r="T230" i="6"/>
  <c r="S230" i="6"/>
  <c r="R230" i="6"/>
  <c r="Q230" i="6"/>
  <c r="P230" i="6"/>
  <c r="O230" i="6"/>
  <c r="F230" i="6"/>
  <c r="U229" i="6"/>
  <c r="T229" i="6"/>
  <c r="S229" i="6"/>
  <c r="R229" i="6"/>
  <c r="Q229" i="6"/>
  <c r="P229" i="6"/>
  <c r="O229" i="6"/>
  <c r="F229" i="6"/>
  <c r="U228" i="6"/>
  <c r="T228" i="6"/>
  <c r="S228" i="6"/>
  <c r="R228" i="6"/>
  <c r="Q228" i="6"/>
  <c r="P228" i="6"/>
  <c r="O228" i="6"/>
  <c r="F228" i="6"/>
  <c r="U227" i="6"/>
  <c r="T227" i="6"/>
  <c r="S227" i="6"/>
  <c r="R227" i="6"/>
  <c r="Q227" i="6"/>
  <c r="P227" i="6"/>
  <c r="O227" i="6"/>
  <c r="F227" i="6"/>
  <c r="R226" i="6"/>
  <c r="S226" i="6" s="1"/>
  <c r="T226" i="6" s="1"/>
  <c r="U226" i="6" s="1"/>
  <c r="V226" i="6" s="1"/>
  <c r="W226" i="6" s="1"/>
  <c r="X226" i="6" s="1"/>
  <c r="Y226" i="6" s="1"/>
  <c r="Z226" i="6" s="1"/>
  <c r="AA226" i="6" s="1"/>
  <c r="P226" i="6"/>
  <c r="Q226" i="6" s="1"/>
  <c r="O226" i="6"/>
  <c r="P225" i="6"/>
  <c r="O225" i="6"/>
  <c r="F225" i="6"/>
  <c r="P224" i="6"/>
  <c r="O224" i="6"/>
  <c r="F224" i="6"/>
  <c r="P223" i="6"/>
  <c r="O223" i="6"/>
  <c r="F223" i="6"/>
  <c r="P222" i="6"/>
  <c r="O222" i="6"/>
  <c r="F222" i="6"/>
  <c r="U220" i="6"/>
  <c r="T220" i="6"/>
  <c r="S220" i="6"/>
  <c r="R220" i="6"/>
  <c r="Q220" i="6"/>
  <c r="P220" i="6"/>
  <c r="O220" i="6"/>
  <c r="F220" i="6"/>
  <c r="U219" i="6"/>
  <c r="T219" i="6"/>
  <c r="S219" i="6"/>
  <c r="R219" i="6"/>
  <c r="Q219" i="6"/>
  <c r="P219" i="6"/>
  <c r="O219" i="6"/>
  <c r="F219" i="6"/>
  <c r="U218" i="6"/>
  <c r="T218" i="6"/>
  <c r="S218" i="6"/>
  <c r="R218" i="6"/>
  <c r="Q218" i="6"/>
  <c r="P218" i="6"/>
  <c r="O218" i="6"/>
  <c r="F218" i="6"/>
  <c r="U217" i="6"/>
  <c r="T217" i="6"/>
  <c r="S217" i="6"/>
  <c r="R217" i="6"/>
  <c r="Q217" i="6"/>
  <c r="P217" i="6"/>
  <c r="O217" i="6"/>
  <c r="F217" i="6"/>
  <c r="F215" i="6"/>
  <c r="P46" i="6" s="1"/>
  <c r="F214" i="6"/>
  <c r="F213" i="6"/>
  <c r="U212" i="6"/>
  <c r="T212" i="6"/>
  <c r="S212" i="6"/>
  <c r="R212" i="6"/>
  <c r="Q212" i="6"/>
  <c r="P212" i="6"/>
  <c r="O212" i="6"/>
  <c r="F212" i="6"/>
  <c r="U211" i="6"/>
  <c r="T211" i="6"/>
  <c r="S211" i="6"/>
  <c r="R211" i="6"/>
  <c r="Q211" i="6"/>
  <c r="P211" i="6"/>
  <c r="O211" i="6"/>
  <c r="F211" i="6"/>
  <c r="U210" i="6"/>
  <c r="T210" i="6"/>
  <c r="S210" i="6"/>
  <c r="R210" i="6"/>
  <c r="Q210" i="6"/>
  <c r="P210" i="6"/>
  <c r="O210" i="6"/>
  <c r="F210" i="6"/>
  <c r="U209" i="6"/>
  <c r="T209" i="6"/>
  <c r="S209" i="6"/>
  <c r="R209" i="6"/>
  <c r="Q209" i="6"/>
  <c r="P209" i="6"/>
  <c r="O209" i="6"/>
  <c r="F209" i="6"/>
  <c r="U207" i="6"/>
  <c r="T207" i="6"/>
  <c r="S207" i="6"/>
  <c r="R207" i="6"/>
  <c r="Q207" i="6"/>
  <c r="P207" i="6"/>
  <c r="O207" i="6"/>
  <c r="F207" i="6"/>
  <c r="P206" i="6"/>
  <c r="Q206" i="6" s="1"/>
  <c r="R206" i="6" s="1"/>
  <c r="S206" i="6" s="1"/>
  <c r="T206" i="6" s="1"/>
  <c r="U206" i="6" s="1"/>
  <c r="O206" i="6"/>
  <c r="F206" i="6"/>
  <c r="P205" i="6"/>
  <c r="Q205" i="6" s="1"/>
  <c r="R205" i="6" s="1"/>
  <c r="S205" i="6" s="1"/>
  <c r="T205" i="6" s="1"/>
  <c r="U205" i="6" s="1"/>
  <c r="F205" i="6"/>
  <c r="Q204" i="6"/>
  <c r="R204" i="6" s="1"/>
  <c r="S204" i="6" s="1"/>
  <c r="T204" i="6" s="1"/>
  <c r="U204" i="6" s="1"/>
  <c r="P204" i="6"/>
  <c r="F204" i="6"/>
  <c r="U203" i="6"/>
  <c r="T203" i="6"/>
  <c r="S203" i="6"/>
  <c r="R203" i="6"/>
  <c r="Q203" i="6"/>
  <c r="P203" i="6"/>
  <c r="O203" i="6"/>
  <c r="F203" i="6"/>
  <c r="P202" i="6"/>
  <c r="Q202" i="6" s="1"/>
  <c r="R202" i="6" s="1"/>
  <c r="S202" i="6" s="1"/>
  <c r="T202" i="6" s="1"/>
  <c r="U202" i="6" s="1"/>
  <c r="O202" i="6"/>
  <c r="F202" i="6"/>
  <c r="U201" i="6"/>
  <c r="T201" i="6"/>
  <c r="S201" i="6"/>
  <c r="R201" i="6"/>
  <c r="Q201" i="6"/>
  <c r="P201" i="6"/>
  <c r="O201" i="6"/>
  <c r="F201" i="6"/>
  <c r="P200" i="6"/>
  <c r="O200" i="6"/>
  <c r="F200" i="6"/>
  <c r="O199" i="6"/>
  <c r="P199" i="6" s="1"/>
  <c r="Q199" i="6" s="1"/>
  <c r="T198" i="6"/>
  <c r="U198" i="6" s="1"/>
  <c r="V198" i="6" s="1"/>
  <c r="W198" i="6" s="1"/>
  <c r="R198" i="6"/>
  <c r="S198" i="6" s="1"/>
  <c r="Q198" i="6"/>
  <c r="P198" i="6"/>
  <c r="O198" i="6"/>
  <c r="P197" i="6"/>
  <c r="O197" i="6"/>
  <c r="F197" i="6"/>
  <c r="P196" i="6"/>
  <c r="O196" i="6"/>
  <c r="F196" i="6"/>
  <c r="P195" i="6"/>
  <c r="O195" i="6"/>
  <c r="F195" i="6"/>
  <c r="Y193" i="6"/>
  <c r="X193" i="6"/>
  <c r="W193" i="6"/>
  <c r="V193" i="6"/>
  <c r="U193" i="6"/>
  <c r="T193" i="6"/>
  <c r="S193" i="6"/>
  <c r="R193" i="6"/>
  <c r="Q193" i="6"/>
  <c r="P193" i="6"/>
  <c r="O193" i="6"/>
  <c r="F193" i="6"/>
  <c r="Y192" i="6"/>
  <c r="X192" i="6"/>
  <c r="W192" i="6"/>
  <c r="V192" i="6"/>
  <c r="U192" i="6"/>
  <c r="T192" i="6"/>
  <c r="S192" i="6"/>
  <c r="R192" i="6"/>
  <c r="Q192" i="6"/>
  <c r="P192" i="6"/>
  <c r="O192" i="6"/>
  <c r="F192" i="6"/>
  <c r="N190" i="6"/>
  <c r="M190" i="6"/>
  <c r="L190" i="6"/>
  <c r="K190" i="6"/>
  <c r="J190" i="6"/>
  <c r="I190" i="6"/>
  <c r="H190" i="6"/>
  <c r="G190" i="6"/>
  <c r="AA183" i="6"/>
  <c r="Z183" i="6"/>
  <c r="Y183" i="6"/>
  <c r="X183" i="6"/>
  <c r="W183" i="6"/>
  <c r="W177" i="6" s="1"/>
  <c r="V183" i="6"/>
  <c r="U183" i="6"/>
  <c r="T183" i="6"/>
  <c r="S183" i="6"/>
  <c r="R183" i="6"/>
  <c r="Q183" i="6"/>
  <c r="P183" i="6"/>
  <c r="O183" i="6"/>
  <c r="O177" i="6" s="1"/>
  <c r="N183" i="6"/>
  <c r="M183" i="6"/>
  <c r="L183" i="6"/>
  <c r="K183" i="6"/>
  <c r="J183" i="6"/>
  <c r="I183" i="6"/>
  <c r="H183" i="6"/>
  <c r="G183" i="6"/>
  <c r="G177" i="6" s="1"/>
  <c r="B183" i="6"/>
  <c r="AA181" i="6"/>
  <c r="Z181" i="6"/>
  <c r="Y181" i="6"/>
  <c r="X181" i="6"/>
  <c r="W181" i="6"/>
  <c r="V181" i="6"/>
  <c r="U181" i="6"/>
  <c r="T181" i="6"/>
  <c r="T177" i="6" s="1"/>
  <c r="S181" i="6"/>
  <c r="R181" i="6"/>
  <c r="Q181" i="6"/>
  <c r="P181" i="6"/>
  <c r="O181" i="6"/>
  <c r="N181" i="6"/>
  <c r="M181" i="6"/>
  <c r="L181" i="6"/>
  <c r="L177" i="6" s="1"/>
  <c r="K181" i="6"/>
  <c r="J181" i="6"/>
  <c r="I181" i="6"/>
  <c r="H181" i="6"/>
  <c r="G181" i="6"/>
  <c r="B181" i="6"/>
  <c r="AA179" i="6"/>
  <c r="AA177" i="6" s="1"/>
  <c r="Z179" i="6"/>
  <c r="Z177" i="6" s="1"/>
  <c r="Y179" i="6"/>
  <c r="X179" i="6"/>
  <c r="W179" i="6"/>
  <c r="V179" i="6"/>
  <c r="U179" i="6"/>
  <c r="T179" i="6"/>
  <c r="S179" i="6"/>
  <c r="S177" i="6" s="1"/>
  <c r="R179" i="6"/>
  <c r="R177" i="6" s="1"/>
  <c r="Q179" i="6"/>
  <c r="P179" i="6"/>
  <c r="O179" i="6"/>
  <c r="N179" i="6"/>
  <c r="M179" i="6"/>
  <c r="L179" i="6"/>
  <c r="K179" i="6"/>
  <c r="K177" i="6" s="1"/>
  <c r="J179" i="6"/>
  <c r="J177" i="6" s="1"/>
  <c r="I179" i="6"/>
  <c r="H179" i="6"/>
  <c r="G179" i="6"/>
  <c r="B179" i="6"/>
  <c r="Y177" i="6"/>
  <c r="X177" i="6"/>
  <c r="V177" i="6"/>
  <c r="Q177" i="6"/>
  <c r="P177" i="6"/>
  <c r="N177" i="6"/>
  <c r="I177" i="6"/>
  <c r="H177" i="6"/>
  <c r="AA173" i="6"/>
  <c r="Z173" i="6"/>
  <c r="Y173" i="6"/>
  <c r="X173" i="6"/>
  <c r="W173" i="6"/>
  <c r="V173" i="6"/>
  <c r="U173" i="6"/>
  <c r="U169" i="6" s="1"/>
  <c r="T173" i="6"/>
  <c r="S173" i="6"/>
  <c r="R173" i="6"/>
  <c r="Q173" i="6"/>
  <c r="P173" i="6"/>
  <c r="O173" i="6"/>
  <c r="N173" i="6"/>
  <c r="M173" i="6"/>
  <c r="M169" i="6" s="1"/>
  <c r="L173" i="6"/>
  <c r="K173" i="6"/>
  <c r="J173" i="6"/>
  <c r="I173" i="6"/>
  <c r="H173" i="6"/>
  <c r="G173" i="6"/>
  <c r="B173" i="6"/>
  <c r="AA171" i="6"/>
  <c r="Z171" i="6"/>
  <c r="Z169" i="6" s="1"/>
  <c r="Y171" i="6"/>
  <c r="X171" i="6"/>
  <c r="W171" i="6"/>
  <c r="V171" i="6"/>
  <c r="V169" i="6" s="1"/>
  <c r="U171" i="6"/>
  <c r="T171" i="6"/>
  <c r="T169" i="6" s="1"/>
  <c r="S171" i="6"/>
  <c r="R171" i="6"/>
  <c r="R169" i="6" s="1"/>
  <c r="Q171" i="6"/>
  <c r="P171" i="6"/>
  <c r="O171" i="6"/>
  <c r="N171" i="6"/>
  <c r="N169" i="6" s="1"/>
  <c r="M171" i="6"/>
  <c r="L171" i="6"/>
  <c r="L169" i="6" s="1"/>
  <c r="K171" i="6"/>
  <c r="J171" i="6"/>
  <c r="J169" i="6" s="1"/>
  <c r="I171" i="6"/>
  <c r="H171" i="6"/>
  <c r="G171" i="6"/>
  <c r="AA169" i="6"/>
  <c r="Y169" i="6"/>
  <c r="X169" i="6"/>
  <c r="W169" i="6"/>
  <c r="S169" i="6"/>
  <c r="Q169" i="6"/>
  <c r="P169" i="6"/>
  <c r="O169" i="6"/>
  <c r="K169" i="6"/>
  <c r="I169" i="6"/>
  <c r="H169" i="6"/>
  <c r="G169" i="6"/>
  <c r="AA165" i="6"/>
  <c r="Z165" i="6"/>
  <c r="Y165" i="6"/>
  <c r="X165" i="6"/>
  <c r="W165" i="6"/>
  <c r="V165" i="6"/>
  <c r="V151" i="6" s="1"/>
  <c r="U165" i="6"/>
  <c r="T165" i="6"/>
  <c r="S165" i="6"/>
  <c r="R165" i="6"/>
  <c r="Q165" i="6"/>
  <c r="P165" i="6"/>
  <c r="O165" i="6"/>
  <c r="N165" i="6"/>
  <c r="M165" i="6"/>
  <c r="L165" i="6"/>
  <c r="K165" i="6"/>
  <c r="J165" i="6"/>
  <c r="I165" i="6"/>
  <c r="H165" i="6"/>
  <c r="G165" i="6"/>
  <c r="B165" i="6"/>
  <c r="AA163" i="6"/>
  <c r="Z163" i="6"/>
  <c r="Y163" i="6"/>
  <c r="X163" i="6"/>
  <c r="W163" i="6"/>
  <c r="V163" i="6"/>
  <c r="U163" i="6"/>
  <c r="T163" i="6"/>
  <c r="T151" i="6" s="1"/>
  <c r="S163" i="6"/>
  <c r="R163" i="6"/>
  <c r="Q163" i="6"/>
  <c r="P163" i="6"/>
  <c r="O163" i="6"/>
  <c r="N163" i="6"/>
  <c r="M163" i="6"/>
  <c r="L163" i="6"/>
  <c r="K163" i="6"/>
  <c r="J163" i="6"/>
  <c r="I163" i="6"/>
  <c r="H163" i="6"/>
  <c r="G163" i="6"/>
  <c r="B163" i="6"/>
  <c r="AA161" i="6"/>
  <c r="Z161" i="6"/>
  <c r="Y161" i="6"/>
  <c r="X161" i="6"/>
  <c r="W161" i="6"/>
  <c r="V161" i="6"/>
  <c r="U161" i="6"/>
  <c r="T161" i="6"/>
  <c r="S161" i="6"/>
  <c r="R161" i="6"/>
  <c r="Q161" i="6"/>
  <c r="P161" i="6"/>
  <c r="O161" i="6"/>
  <c r="N161" i="6"/>
  <c r="M161" i="6"/>
  <c r="L161" i="6"/>
  <c r="K161" i="6"/>
  <c r="J161" i="6"/>
  <c r="I161" i="6"/>
  <c r="H161" i="6"/>
  <c r="G161" i="6"/>
  <c r="B161" i="6"/>
  <c r="AA159" i="6"/>
  <c r="Z159" i="6"/>
  <c r="Y159" i="6"/>
  <c r="X159" i="6"/>
  <c r="W159" i="6"/>
  <c r="V159" i="6"/>
  <c r="U159" i="6"/>
  <c r="T159" i="6"/>
  <c r="S159" i="6"/>
  <c r="R159" i="6"/>
  <c r="Q159" i="6"/>
  <c r="P159" i="6"/>
  <c r="O159" i="6"/>
  <c r="N159" i="6"/>
  <c r="M159" i="6"/>
  <c r="L159" i="6"/>
  <c r="K159" i="6"/>
  <c r="J159" i="6"/>
  <c r="I159" i="6"/>
  <c r="H159" i="6"/>
  <c r="G159" i="6"/>
  <c r="AA157" i="6"/>
  <c r="Z157" i="6"/>
  <c r="Y157" i="6"/>
  <c r="X157" i="6"/>
  <c r="W157" i="6"/>
  <c r="V157" i="6"/>
  <c r="U157" i="6"/>
  <c r="T157" i="6"/>
  <c r="S157" i="6"/>
  <c r="R157" i="6"/>
  <c r="Q157" i="6"/>
  <c r="P157" i="6"/>
  <c r="O157" i="6"/>
  <c r="N157" i="6"/>
  <c r="M157" i="6"/>
  <c r="L157" i="6"/>
  <c r="K157" i="6"/>
  <c r="J157" i="6"/>
  <c r="I157" i="6"/>
  <c r="H157" i="6"/>
  <c r="G157" i="6"/>
  <c r="AA155" i="6"/>
  <c r="Z155" i="6"/>
  <c r="Z151" i="6" s="1"/>
  <c r="Y155" i="6"/>
  <c r="X155" i="6"/>
  <c r="W155" i="6"/>
  <c r="V155" i="6"/>
  <c r="U155" i="6"/>
  <c r="T155" i="6"/>
  <c r="S155" i="6"/>
  <c r="R155" i="6"/>
  <c r="R151" i="6" s="1"/>
  <c r="Q155" i="6"/>
  <c r="P155" i="6"/>
  <c r="O155" i="6"/>
  <c r="N155" i="6"/>
  <c r="M155" i="6"/>
  <c r="L155" i="6"/>
  <c r="K155" i="6"/>
  <c r="J155" i="6"/>
  <c r="J151" i="6" s="1"/>
  <c r="I155" i="6"/>
  <c r="H155" i="6"/>
  <c r="H151" i="6" s="1"/>
  <c r="G155" i="6"/>
  <c r="AA153" i="6"/>
  <c r="Z153" i="6"/>
  <c r="Y153" i="6"/>
  <c r="Y151" i="6" s="1"/>
  <c r="X153" i="6"/>
  <c r="W153" i="6"/>
  <c r="W151" i="6" s="1"/>
  <c r="V153" i="6"/>
  <c r="U153" i="6"/>
  <c r="T153" i="6"/>
  <c r="S153" i="6"/>
  <c r="R153" i="6"/>
  <c r="Q153" i="6"/>
  <c r="Q151" i="6" s="1"/>
  <c r="P153" i="6"/>
  <c r="O153" i="6"/>
  <c r="O151" i="6" s="1"/>
  <c r="N153" i="6"/>
  <c r="M153" i="6"/>
  <c r="M151" i="6" s="1"/>
  <c r="L153" i="6"/>
  <c r="K153" i="6"/>
  <c r="J153" i="6"/>
  <c r="I153" i="6"/>
  <c r="I151" i="6" s="1"/>
  <c r="H153" i="6"/>
  <c r="G153" i="6"/>
  <c r="G151" i="6" s="1"/>
  <c r="AA151" i="6"/>
  <c r="S151" i="6"/>
  <c r="N151" i="6"/>
  <c r="L151" i="6"/>
  <c r="K151" i="6"/>
  <c r="AA147" i="6"/>
  <c r="Z147" i="6"/>
  <c r="Y147" i="6"/>
  <c r="X147" i="6"/>
  <c r="W147" i="6"/>
  <c r="V147" i="6"/>
  <c r="U147" i="6"/>
  <c r="T147" i="6"/>
  <c r="S147" i="6"/>
  <c r="R147" i="6"/>
  <c r="Q147" i="6"/>
  <c r="P147" i="6"/>
  <c r="O147" i="6"/>
  <c r="N147" i="6"/>
  <c r="M147" i="6"/>
  <c r="L147" i="6"/>
  <c r="K147" i="6"/>
  <c r="J147" i="6"/>
  <c r="I147" i="6"/>
  <c r="H147" i="6"/>
  <c r="G147" i="6"/>
  <c r="AA145" i="6"/>
  <c r="Z145" i="6"/>
  <c r="Y145" i="6"/>
  <c r="X145" i="6"/>
  <c r="W145" i="6"/>
  <c r="V145" i="6"/>
  <c r="U145" i="6"/>
  <c r="T145" i="6"/>
  <c r="S145" i="6"/>
  <c r="R145" i="6"/>
  <c r="Q145" i="6"/>
  <c r="P145" i="6"/>
  <c r="O145" i="6"/>
  <c r="N145" i="6"/>
  <c r="M145" i="6"/>
  <c r="L145" i="6"/>
  <c r="K145" i="6"/>
  <c r="J145" i="6"/>
  <c r="I145" i="6"/>
  <c r="H145" i="6"/>
  <c r="G145" i="6"/>
  <c r="AA143" i="6"/>
  <c r="AA132" i="6" s="1"/>
  <c r="Z143" i="6"/>
  <c r="Y143" i="6"/>
  <c r="X143" i="6"/>
  <c r="W143" i="6"/>
  <c r="V143" i="6"/>
  <c r="U143" i="6"/>
  <c r="T143" i="6"/>
  <c r="S143" i="6"/>
  <c r="S132" i="6" s="1"/>
  <c r="R143" i="6"/>
  <c r="Q143" i="6"/>
  <c r="P143" i="6"/>
  <c r="O143" i="6"/>
  <c r="N143" i="6"/>
  <c r="M143" i="6"/>
  <c r="L143" i="6"/>
  <c r="K143" i="6"/>
  <c r="K132" i="6" s="1"/>
  <c r="J143" i="6"/>
  <c r="I143" i="6"/>
  <c r="H143" i="6"/>
  <c r="G143" i="6"/>
  <c r="AA141" i="6"/>
  <c r="Z141" i="6"/>
  <c r="Y141" i="6"/>
  <c r="X141" i="6"/>
  <c r="X132" i="6" s="1"/>
  <c r="W141" i="6"/>
  <c r="V141" i="6"/>
  <c r="U141" i="6"/>
  <c r="T141" i="6"/>
  <c r="S141" i="6"/>
  <c r="R141" i="6"/>
  <c r="Q141" i="6"/>
  <c r="P141" i="6"/>
  <c r="P132" i="6" s="1"/>
  <c r="O141" i="6"/>
  <c r="N141" i="6"/>
  <c r="M141" i="6"/>
  <c r="L141" i="6"/>
  <c r="K141" i="6"/>
  <c r="J141" i="6"/>
  <c r="I141" i="6"/>
  <c r="H141" i="6"/>
  <c r="H132" i="6" s="1"/>
  <c r="G141" i="6"/>
  <c r="AA140" i="6"/>
  <c r="Z140" i="6"/>
  <c r="Y140" i="6"/>
  <c r="X140" i="6"/>
  <c r="W140" i="6"/>
  <c r="V140" i="6"/>
  <c r="U140" i="6"/>
  <c r="T140" i="6"/>
  <c r="S140" i="6"/>
  <c r="R140" i="6"/>
  <c r="Q140" i="6"/>
  <c r="P140" i="6"/>
  <c r="O140" i="6"/>
  <c r="N140" i="6"/>
  <c r="M140" i="6"/>
  <c r="L140" i="6"/>
  <c r="K140" i="6"/>
  <c r="J140" i="6"/>
  <c r="I140" i="6"/>
  <c r="H140" i="6"/>
  <c r="G140" i="6"/>
  <c r="AA138" i="6"/>
  <c r="Z138" i="6"/>
  <c r="Y138" i="6"/>
  <c r="X138" i="6"/>
  <c r="W138" i="6"/>
  <c r="V138" i="6"/>
  <c r="U138" i="6"/>
  <c r="T138" i="6"/>
  <c r="S138" i="6"/>
  <c r="R138" i="6"/>
  <c r="Q138" i="6"/>
  <c r="P138" i="6"/>
  <c r="O138" i="6"/>
  <c r="N138" i="6"/>
  <c r="M138" i="6"/>
  <c r="L138" i="6"/>
  <c r="K138" i="6"/>
  <c r="J138" i="6"/>
  <c r="I138" i="6"/>
  <c r="H138" i="6"/>
  <c r="G138" i="6"/>
  <c r="AA136" i="6"/>
  <c r="Z136" i="6"/>
  <c r="Y136" i="6"/>
  <c r="X136" i="6"/>
  <c r="W136" i="6"/>
  <c r="W132" i="6" s="1"/>
  <c r="V136" i="6"/>
  <c r="U136" i="6"/>
  <c r="T136" i="6"/>
  <c r="S136" i="6"/>
  <c r="R136" i="6"/>
  <c r="Q136" i="6"/>
  <c r="P136" i="6"/>
  <c r="O136" i="6"/>
  <c r="O132" i="6" s="1"/>
  <c r="N136" i="6"/>
  <c r="M136" i="6"/>
  <c r="L136" i="6"/>
  <c r="K136" i="6"/>
  <c r="J136" i="6"/>
  <c r="I136" i="6"/>
  <c r="H136" i="6"/>
  <c r="G136" i="6"/>
  <c r="G132" i="6" s="1"/>
  <c r="AA134" i="6"/>
  <c r="Z134" i="6"/>
  <c r="Y134" i="6"/>
  <c r="X134" i="6"/>
  <c r="W134" i="6"/>
  <c r="V134" i="6"/>
  <c r="V132" i="6" s="1"/>
  <c r="U134" i="6"/>
  <c r="T134" i="6"/>
  <c r="T132" i="6" s="1"/>
  <c r="S134" i="6"/>
  <c r="R134" i="6"/>
  <c r="Q134" i="6"/>
  <c r="P134" i="6"/>
  <c r="O134" i="6"/>
  <c r="N134" i="6"/>
  <c r="N132" i="6" s="1"/>
  <c r="M134" i="6"/>
  <c r="L134" i="6"/>
  <c r="L132" i="6" s="1"/>
  <c r="K134" i="6"/>
  <c r="J134" i="6"/>
  <c r="I134" i="6"/>
  <c r="H134" i="6"/>
  <c r="G134" i="6"/>
  <c r="Y132" i="6"/>
  <c r="Q132" i="6"/>
  <c r="I132" i="6"/>
  <c r="AA127" i="6"/>
  <c r="Z127" i="6"/>
  <c r="Y127" i="6"/>
  <c r="X127" i="6"/>
  <c r="W127" i="6"/>
  <c r="V127" i="6"/>
  <c r="U127" i="6"/>
  <c r="T127" i="6"/>
  <c r="S127" i="6"/>
  <c r="R127" i="6"/>
  <c r="Q127" i="6"/>
  <c r="P127" i="6"/>
  <c r="O127" i="6"/>
  <c r="N127" i="6"/>
  <c r="M127" i="6"/>
  <c r="L127" i="6"/>
  <c r="K127" i="6"/>
  <c r="J127" i="6"/>
  <c r="I127" i="6"/>
  <c r="H127" i="6"/>
  <c r="G127" i="6"/>
  <c r="B127" i="6"/>
  <c r="AA125" i="6"/>
  <c r="Z125" i="6"/>
  <c r="Y125" i="6"/>
  <c r="X125" i="6"/>
  <c r="W125" i="6"/>
  <c r="V125" i="6"/>
  <c r="U125" i="6"/>
  <c r="T125" i="6"/>
  <c r="S125" i="6"/>
  <c r="R125" i="6"/>
  <c r="Q125" i="6"/>
  <c r="P125" i="6"/>
  <c r="O125" i="6"/>
  <c r="N125" i="6"/>
  <c r="M125" i="6"/>
  <c r="L125" i="6"/>
  <c r="K125" i="6"/>
  <c r="J125" i="6"/>
  <c r="I125" i="6"/>
  <c r="H125" i="6"/>
  <c r="G125" i="6"/>
  <c r="B125" i="6"/>
  <c r="AA123" i="6"/>
  <c r="Z123" i="6"/>
  <c r="Y123" i="6"/>
  <c r="X123" i="6"/>
  <c r="W123" i="6"/>
  <c r="V123" i="6"/>
  <c r="U123" i="6"/>
  <c r="T123" i="6"/>
  <c r="S123" i="6"/>
  <c r="R123" i="6"/>
  <c r="Q123" i="6"/>
  <c r="P123" i="6"/>
  <c r="O123" i="6"/>
  <c r="N123" i="6"/>
  <c r="M123" i="6"/>
  <c r="L123" i="6"/>
  <c r="K123" i="6"/>
  <c r="J123" i="6"/>
  <c r="I123" i="6"/>
  <c r="H123" i="6"/>
  <c r="G123" i="6"/>
  <c r="B123" i="6"/>
  <c r="AA121" i="6"/>
  <c r="Z121" i="6"/>
  <c r="Y121" i="6"/>
  <c r="X121" i="6"/>
  <c r="W121" i="6"/>
  <c r="V121" i="6"/>
  <c r="U121" i="6"/>
  <c r="T121" i="6"/>
  <c r="S121" i="6"/>
  <c r="R121" i="6"/>
  <c r="Q121" i="6"/>
  <c r="P121" i="6"/>
  <c r="O121" i="6"/>
  <c r="N121" i="6"/>
  <c r="M121" i="6"/>
  <c r="L121" i="6"/>
  <c r="K121" i="6"/>
  <c r="J121" i="6"/>
  <c r="I121" i="6"/>
  <c r="H121" i="6"/>
  <c r="G121" i="6"/>
  <c r="B121" i="6"/>
  <c r="AA119" i="6"/>
  <c r="Z119" i="6"/>
  <c r="Y119" i="6"/>
  <c r="X119" i="6"/>
  <c r="W119" i="6"/>
  <c r="V119" i="6"/>
  <c r="U119" i="6"/>
  <c r="T119" i="6"/>
  <c r="S119" i="6"/>
  <c r="R119" i="6"/>
  <c r="Q119" i="6"/>
  <c r="P119" i="6"/>
  <c r="O119" i="6"/>
  <c r="N119" i="6"/>
  <c r="M119" i="6"/>
  <c r="L119" i="6"/>
  <c r="K119" i="6"/>
  <c r="J119" i="6"/>
  <c r="I119" i="6"/>
  <c r="H119" i="6"/>
  <c r="G119" i="6"/>
  <c r="B119" i="6"/>
  <c r="AA117" i="6"/>
  <c r="Z117" i="6"/>
  <c r="Y117" i="6"/>
  <c r="X117" i="6"/>
  <c r="W117" i="6"/>
  <c r="V117" i="6"/>
  <c r="U117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B117" i="6"/>
  <c r="Z115" i="6"/>
  <c r="Y115" i="6"/>
  <c r="X115" i="6"/>
  <c r="W115" i="6"/>
  <c r="V115" i="6"/>
  <c r="U115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D115" i="6"/>
  <c r="AA115" i="6" s="1"/>
  <c r="B115" i="6"/>
  <c r="AA113" i="6"/>
  <c r="Z113" i="6"/>
  <c r="Y113" i="6"/>
  <c r="X113" i="6"/>
  <c r="W113" i="6"/>
  <c r="V113" i="6"/>
  <c r="U113" i="6"/>
  <c r="T113" i="6"/>
  <c r="S113" i="6"/>
  <c r="R113" i="6"/>
  <c r="Q113" i="6"/>
  <c r="P113" i="6"/>
  <c r="O113" i="6"/>
  <c r="N113" i="6"/>
  <c r="M113" i="6"/>
  <c r="L113" i="6"/>
  <c r="K113" i="6"/>
  <c r="J113" i="6"/>
  <c r="I113" i="6"/>
  <c r="H113" i="6"/>
  <c r="G113" i="6"/>
  <c r="B113" i="6"/>
  <c r="AA111" i="6"/>
  <c r="Z111" i="6"/>
  <c r="Y111" i="6"/>
  <c r="X111" i="6"/>
  <c r="W111" i="6"/>
  <c r="V111" i="6"/>
  <c r="U111" i="6"/>
  <c r="T111" i="6"/>
  <c r="S111" i="6"/>
  <c r="R111" i="6"/>
  <c r="Q111" i="6"/>
  <c r="P111" i="6"/>
  <c r="O111" i="6"/>
  <c r="N111" i="6"/>
  <c r="M111" i="6"/>
  <c r="L111" i="6"/>
  <c r="K111" i="6"/>
  <c r="J111" i="6"/>
  <c r="I111" i="6"/>
  <c r="H111" i="6"/>
  <c r="G111" i="6"/>
  <c r="B111" i="6"/>
  <c r="AA109" i="6"/>
  <c r="Z109" i="6"/>
  <c r="Y109" i="6"/>
  <c r="X109" i="6"/>
  <c r="W109" i="6"/>
  <c r="V109" i="6"/>
  <c r="U109" i="6"/>
  <c r="T109" i="6"/>
  <c r="S109" i="6"/>
  <c r="R109" i="6"/>
  <c r="Q109" i="6"/>
  <c r="P109" i="6"/>
  <c r="O109" i="6"/>
  <c r="N109" i="6"/>
  <c r="M109" i="6"/>
  <c r="L109" i="6"/>
  <c r="K109" i="6"/>
  <c r="J109" i="6"/>
  <c r="I109" i="6"/>
  <c r="H109" i="6"/>
  <c r="G109" i="6"/>
  <c r="B109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B107" i="6"/>
  <c r="AA105" i="6"/>
  <c r="Z105" i="6"/>
  <c r="Y105" i="6"/>
  <c r="X105" i="6"/>
  <c r="W105" i="6"/>
  <c r="V105" i="6"/>
  <c r="U105" i="6"/>
  <c r="T105" i="6"/>
  <c r="S105" i="6"/>
  <c r="R105" i="6"/>
  <c r="Q105" i="6"/>
  <c r="P105" i="6"/>
  <c r="O105" i="6"/>
  <c r="N105" i="6"/>
  <c r="M105" i="6"/>
  <c r="L105" i="6"/>
  <c r="K105" i="6"/>
  <c r="J105" i="6"/>
  <c r="I105" i="6"/>
  <c r="H105" i="6"/>
  <c r="G105" i="6"/>
  <c r="B105" i="6"/>
  <c r="AA103" i="6"/>
  <c r="Z103" i="6"/>
  <c r="Y103" i="6"/>
  <c r="X103" i="6"/>
  <c r="W103" i="6"/>
  <c r="V103" i="6"/>
  <c r="U103" i="6"/>
  <c r="T103" i="6"/>
  <c r="S103" i="6"/>
  <c r="R103" i="6"/>
  <c r="Q103" i="6"/>
  <c r="P103" i="6"/>
  <c r="O103" i="6"/>
  <c r="N103" i="6"/>
  <c r="M103" i="6"/>
  <c r="L103" i="6"/>
  <c r="K103" i="6"/>
  <c r="J103" i="6"/>
  <c r="I103" i="6"/>
  <c r="H103" i="6"/>
  <c r="G103" i="6"/>
  <c r="B103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B101" i="6"/>
  <c r="AA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B99" i="6"/>
  <c r="AA97" i="6"/>
  <c r="Z97" i="6"/>
  <c r="Y97" i="6"/>
  <c r="X97" i="6"/>
  <c r="W97" i="6"/>
  <c r="V97" i="6"/>
  <c r="U97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B97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B95" i="6"/>
  <c r="AA93" i="6"/>
  <c r="Z93" i="6"/>
  <c r="Y93" i="6"/>
  <c r="X93" i="6"/>
  <c r="W93" i="6"/>
  <c r="V93" i="6"/>
  <c r="U93" i="6"/>
  <c r="U82" i="6" s="1"/>
  <c r="T93" i="6"/>
  <c r="S93" i="6"/>
  <c r="R93" i="6"/>
  <c r="Q93" i="6"/>
  <c r="P93" i="6"/>
  <c r="O93" i="6"/>
  <c r="N93" i="6"/>
  <c r="M93" i="6"/>
  <c r="M82" i="6" s="1"/>
  <c r="L93" i="6"/>
  <c r="K93" i="6"/>
  <c r="J93" i="6"/>
  <c r="I93" i="6"/>
  <c r="H93" i="6"/>
  <c r="G93" i="6"/>
  <c r="AA91" i="6"/>
  <c r="Z91" i="6"/>
  <c r="Z82" i="6" s="1"/>
  <c r="Y91" i="6"/>
  <c r="X91" i="6"/>
  <c r="W91" i="6"/>
  <c r="V91" i="6"/>
  <c r="U91" i="6"/>
  <c r="T91" i="6"/>
  <c r="S91" i="6"/>
  <c r="R91" i="6"/>
  <c r="R82" i="6" s="1"/>
  <c r="Q91" i="6"/>
  <c r="P91" i="6"/>
  <c r="O91" i="6"/>
  <c r="N91" i="6"/>
  <c r="M91" i="6"/>
  <c r="L91" i="6"/>
  <c r="K91" i="6"/>
  <c r="J91" i="6"/>
  <c r="J82" i="6" s="1"/>
  <c r="I91" i="6"/>
  <c r="H91" i="6"/>
  <c r="G91" i="6"/>
  <c r="AA89" i="6"/>
  <c r="Z89" i="6"/>
  <c r="Y89" i="6"/>
  <c r="X89" i="6"/>
  <c r="W89" i="6"/>
  <c r="V89" i="6"/>
  <c r="U89" i="6"/>
  <c r="T89" i="6"/>
  <c r="S89" i="6"/>
  <c r="R89" i="6"/>
  <c r="Q89" i="6"/>
  <c r="P89" i="6"/>
  <c r="O89" i="6"/>
  <c r="N89" i="6"/>
  <c r="M89" i="6"/>
  <c r="L89" i="6"/>
  <c r="K89" i="6"/>
  <c r="J89" i="6"/>
  <c r="I89" i="6"/>
  <c r="H89" i="6"/>
  <c r="G89" i="6"/>
  <c r="AA87" i="6"/>
  <c r="Z87" i="6"/>
  <c r="Y87" i="6"/>
  <c r="X87" i="6"/>
  <c r="W87" i="6"/>
  <c r="V87" i="6"/>
  <c r="U87" i="6"/>
  <c r="T87" i="6"/>
  <c r="S87" i="6"/>
  <c r="R87" i="6"/>
  <c r="Q87" i="6"/>
  <c r="P87" i="6"/>
  <c r="O87" i="6"/>
  <c r="N87" i="6"/>
  <c r="M87" i="6"/>
  <c r="L87" i="6"/>
  <c r="K87" i="6"/>
  <c r="J87" i="6"/>
  <c r="I87" i="6"/>
  <c r="H87" i="6"/>
  <c r="G87" i="6"/>
  <c r="AA85" i="6"/>
  <c r="Z85" i="6"/>
  <c r="Y85" i="6"/>
  <c r="Y82" i="6" s="1"/>
  <c r="X85" i="6"/>
  <c r="W85" i="6"/>
  <c r="W82" i="6" s="1"/>
  <c r="V85" i="6"/>
  <c r="U85" i="6"/>
  <c r="T85" i="6"/>
  <c r="S85" i="6"/>
  <c r="R85" i="6"/>
  <c r="Q85" i="6"/>
  <c r="Q82" i="6" s="1"/>
  <c r="P85" i="6"/>
  <c r="O85" i="6"/>
  <c r="O82" i="6" s="1"/>
  <c r="N85" i="6"/>
  <c r="M85" i="6"/>
  <c r="L85" i="6"/>
  <c r="K85" i="6"/>
  <c r="J85" i="6"/>
  <c r="I85" i="6"/>
  <c r="I82" i="6" s="1"/>
  <c r="H85" i="6"/>
  <c r="G85" i="6"/>
  <c r="G82" i="6" s="1"/>
  <c r="AA84" i="6"/>
  <c r="Z84" i="6"/>
  <c r="Y84" i="6"/>
  <c r="X84" i="6"/>
  <c r="W84" i="6"/>
  <c r="V84" i="6"/>
  <c r="V82" i="6" s="1"/>
  <c r="U84" i="6"/>
  <c r="T84" i="6"/>
  <c r="T82" i="6" s="1"/>
  <c r="S84" i="6"/>
  <c r="R84" i="6"/>
  <c r="Q84" i="6"/>
  <c r="P84" i="6"/>
  <c r="O84" i="6"/>
  <c r="N84" i="6"/>
  <c r="N82" i="6" s="1"/>
  <c r="M84" i="6"/>
  <c r="L84" i="6"/>
  <c r="L82" i="6" s="1"/>
  <c r="K84" i="6"/>
  <c r="J84" i="6"/>
  <c r="I84" i="6"/>
  <c r="H84" i="6"/>
  <c r="G84" i="6"/>
  <c r="AA82" i="6"/>
  <c r="S82" i="6"/>
  <c r="K82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H54" i="6" s="1"/>
  <c r="H41" i="6" s="1"/>
  <c r="H42" i="6" s="1"/>
  <c r="G78" i="6"/>
  <c r="B78" i="6"/>
  <c r="AA76" i="6"/>
  <c r="Z76" i="6"/>
  <c r="Y76" i="6"/>
  <c r="X76" i="6"/>
  <c r="W76" i="6"/>
  <c r="V76" i="6"/>
  <c r="U76" i="6"/>
  <c r="T76" i="6"/>
  <c r="S76" i="6"/>
  <c r="R76" i="6"/>
  <c r="Q76" i="6"/>
  <c r="P76" i="6"/>
  <c r="O76" i="6"/>
  <c r="N76" i="6"/>
  <c r="N54" i="6" s="1"/>
  <c r="N41" i="6" s="1"/>
  <c r="N42" i="6" s="1"/>
  <c r="M76" i="6"/>
  <c r="L76" i="6"/>
  <c r="K76" i="6"/>
  <c r="J76" i="6"/>
  <c r="I76" i="6"/>
  <c r="H76" i="6"/>
  <c r="G76" i="6"/>
  <c r="B76" i="6"/>
  <c r="AA74" i="6"/>
  <c r="Z74" i="6"/>
  <c r="Y74" i="6"/>
  <c r="X74" i="6"/>
  <c r="W74" i="6"/>
  <c r="V74" i="6"/>
  <c r="U74" i="6"/>
  <c r="T74" i="6"/>
  <c r="S74" i="6"/>
  <c r="R74" i="6"/>
  <c r="Q74" i="6"/>
  <c r="P74" i="6"/>
  <c r="B74" i="6"/>
  <c r="AA72" i="6"/>
  <c r="Z72" i="6"/>
  <c r="Y72" i="6"/>
  <c r="Y54" i="6" s="1"/>
  <c r="X72" i="6"/>
  <c r="W72" i="6"/>
  <c r="V72" i="6"/>
  <c r="U72" i="6"/>
  <c r="T72" i="6"/>
  <c r="S72" i="6"/>
  <c r="R72" i="6"/>
  <c r="Q72" i="6"/>
  <c r="Q54" i="6" s="1"/>
  <c r="P72" i="6"/>
  <c r="B72" i="6"/>
  <c r="AA70" i="6"/>
  <c r="Z70" i="6"/>
  <c r="Y70" i="6"/>
  <c r="X70" i="6"/>
  <c r="W70" i="6"/>
  <c r="V70" i="6"/>
  <c r="U70" i="6"/>
  <c r="T70" i="6"/>
  <c r="S70" i="6"/>
  <c r="R70" i="6"/>
  <c r="Q70" i="6"/>
  <c r="B70" i="6"/>
  <c r="AA68" i="6"/>
  <c r="Z68" i="6"/>
  <c r="Y68" i="6"/>
  <c r="X68" i="6"/>
  <c r="W68" i="6"/>
  <c r="V68" i="6"/>
  <c r="U68" i="6"/>
  <c r="T68" i="6"/>
  <c r="S68" i="6"/>
  <c r="R68" i="6"/>
  <c r="Q68" i="6"/>
  <c r="P68" i="6"/>
  <c r="AA67" i="6"/>
  <c r="Z67" i="6"/>
  <c r="Y67" i="6"/>
  <c r="X67" i="6"/>
  <c r="W67" i="6"/>
  <c r="V67" i="6"/>
  <c r="U67" i="6"/>
  <c r="T67" i="6"/>
  <c r="S67" i="6"/>
  <c r="R67" i="6"/>
  <c r="Q67" i="6"/>
  <c r="P67" i="6"/>
  <c r="AA66" i="6"/>
  <c r="Z66" i="6"/>
  <c r="Y66" i="6"/>
  <c r="X66" i="6"/>
  <c r="W66" i="6"/>
  <c r="V66" i="6"/>
  <c r="U66" i="6"/>
  <c r="T66" i="6"/>
  <c r="S66" i="6"/>
  <c r="R66" i="6"/>
  <c r="Q66" i="6"/>
  <c r="AA65" i="6"/>
  <c r="Z65" i="6"/>
  <c r="Y65" i="6"/>
  <c r="X65" i="6"/>
  <c r="W65" i="6"/>
  <c r="V65" i="6"/>
  <c r="U65" i="6"/>
  <c r="U54" i="6" s="1"/>
  <c r="T65" i="6"/>
  <c r="S65" i="6"/>
  <c r="R65" i="6"/>
  <c r="Q65" i="6"/>
  <c r="AA63" i="6"/>
  <c r="Z63" i="6"/>
  <c r="Y63" i="6"/>
  <c r="X63" i="6"/>
  <c r="W63" i="6"/>
  <c r="V63" i="6"/>
  <c r="U63" i="6"/>
  <c r="T63" i="6"/>
  <c r="S63" i="6"/>
  <c r="R63" i="6"/>
  <c r="Q63" i="6"/>
  <c r="P63" i="6"/>
  <c r="AA62" i="6"/>
  <c r="Z62" i="6"/>
  <c r="Y62" i="6"/>
  <c r="X62" i="6"/>
  <c r="W62" i="6"/>
  <c r="V62" i="6"/>
  <c r="U62" i="6"/>
  <c r="T62" i="6"/>
  <c r="S62" i="6"/>
  <c r="R62" i="6"/>
  <c r="Q62" i="6"/>
  <c r="P62" i="6"/>
  <c r="AA61" i="6"/>
  <c r="Z61" i="6"/>
  <c r="Y61" i="6"/>
  <c r="X61" i="6"/>
  <c r="W61" i="6"/>
  <c r="V61" i="6"/>
  <c r="U61" i="6"/>
  <c r="T61" i="6"/>
  <c r="S61" i="6"/>
  <c r="R61" i="6"/>
  <c r="Q61" i="6"/>
  <c r="AA60" i="6"/>
  <c r="Z60" i="6"/>
  <c r="Y60" i="6"/>
  <c r="X60" i="6"/>
  <c r="W60" i="6"/>
  <c r="V60" i="6"/>
  <c r="U60" i="6"/>
  <c r="T60" i="6"/>
  <c r="S60" i="6"/>
  <c r="S54" i="6" s="1"/>
  <c r="R60" i="6"/>
  <c r="Q60" i="6"/>
  <c r="AA58" i="6"/>
  <c r="Z58" i="6"/>
  <c r="Y58" i="6"/>
  <c r="X58" i="6"/>
  <c r="W58" i="6"/>
  <c r="V58" i="6"/>
  <c r="U58" i="6"/>
  <c r="T58" i="6"/>
  <c r="S58" i="6"/>
  <c r="R58" i="6"/>
  <c r="Q58" i="6"/>
  <c r="P58" i="6"/>
  <c r="AA57" i="6"/>
  <c r="Z57" i="6"/>
  <c r="Z54" i="6" s="1"/>
  <c r="Y57" i="6"/>
  <c r="X57" i="6"/>
  <c r="W57" i="6"/>
  <c r="W54" i="6" s="1"/>
  <c r="V57" i="6"/>
  <c r="U57" i="6"/>
  <c r="T57" i="6"/>
  <c r="S57" i="6"/>
  <c r="R57" i="6"/>
  <c r="R54" i="6" s="1"/>
  <c r="Q57" i="6"/>
  <c r="P57" i="6"/>
  <c r="AA56" i="6"/>
  <c r="Z56" i="6"/>
  <c r="Y56" i="6"/>
  <c r="X56" i="6"/>
  <c r="W56" i="6"/>
  <c r="V56" i="6"/>
  <c r="V54" i="6" s="1"/>
  <c r="U56" i="6"/>
  <c r="T56" i="6"/>
  <c r="T54" i="6" s="1"/>
  <c r="S56" i="6"/>
  <c r="R56" i="6"/>
  <c r="Q56" i="6"/>
  <c r="P56" i="6"/>
  <c r="F56" i="6"/>
  <c r="AA54" i="6"/>
  <c r="O54" i="6"/>
  <c r="M54" i="6"/>
  <c r="L54" i="6"/>
  <c r="K54" i="6"/>
  <c r="K41" i="6" s="1"/>
  <c r="K42" i="6" s="1"/>
  <c r="J54" i="6"/>
  <c r="I54" i="6"/>
  <c r="G54" i="6"/>
  <c r="N48" i="6"/>
  <c r="N47" i="6"/>
  <c r="M47" i="6"/>
  <c r="L47" i="6"/>
  <c r="K47" i="6"/>
  <c r="J47" i="6"/>
  <c r="I47" i="6"/>
  <c r="H47" i="6"/>
  <c r="G47" i="6"/>
  <c r="N46" i="6"/>
  <c r="M46" i="6"/>
  <c r="M48" i="6" s="1"/>
  <c r="L46" i="6"/>
  <c r="L48" i="6" s="1"/>
  <c r="K46" i="6"/>
  <c r="K48" i="6" s="1"/>
  <c r="J46" i="6"/>
  <c r="I46" i="6"/>
  <c r="I48" i="6" s="1"/>
  <c r="H46" i="6"/>
  <c r="H48" i="6" s="1"/>
  <c r="G46" i="6"/>
  <c r="M43" i="6"/>
  <c r="L42" i="6"/>
  <c r="M41" i="6"/>
  <c r="L41" i="6"/>
  <c r="I41" i="6"/>
  <c r="I42" i="6" s="1"/>
  <c r="G41" i="6"/>
  <c r="G42" i="6" s="1"/>
  <c r="M40" i="6"/>
  <c r="L40" i="6"/>
  <c r="N39" i="6"/>
  <c r="M39" i="6"/>
  <c r="L39" i="6"/>
  <c r="K39" i="6"/>
  <c r="K40" i="6" s="1"/>
  <c r="J39" i="6"/>
  <c r="I39" i="6"/>
  <c r="I40" i="6" s="1"/>
  <c r="H39" i="6"/>
  <c r="H40" i="6" s="1"/>
  <c r="G39" i="6"/>
  <c r="N38" i="6"/>
  <c r="M38" i="6"/>
  <c r="M42" i="6" s="1"/>
  <c r="L38" i="6"/>
  <c r="K38" i="6"/>
  <c r="K43" i="6" s="1"/>
  <c r="H38" i="6"/>
  <c r="H36" i="6" s="1"/>
  <c r="G38" i="6"/>
  <c r="G36" i="6" s="1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M36" i="6"/>
  <c r="L36" i="6"/>
  <c r="L43" i="6" s="1"/>
  <c r="K36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20" i="6" s="1"/>
  <c r="G31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AA29" i="6"/>
  <c r="AA26" i="6" s="1"/>
  <c r="AA24" i="6" s="1"/>
  <c r="Z29" i="6"/>
  <c r="Y29" i="6"/>
  <c r="X29" i="6"/>
  <c r="W29" i="6"/>
  <c r="V29" i="6"/>
  <c r="U29" i="6"/>
  <c r="T29" i="6"/>
  <c r="S29" i="6"/>
  <c r="S26" i="6" s="1"/>
  <c r="S24" i="6" s="1"/>
  <c r="R29" i="6"/>
  <c r="Q29" i="6"/>
  <c r="P29" i="6"/>
  <c r="O29" i="6"/>
  <c r="AA28" i="6"/>
  <c r="Z28" i="6"/>
  <c r="Y28" i="6"/>
  <c r="X28" i="6"/>
  <c r="X26" i="6" s="1"/>
  <c r="X24" i="6" s="1"/>
  <c r="W28" i="6"/>
  <c r="V28" i="6"/>
  <c r="U28" i="6"/>
  <c r="T28" i="6"/>
  <c r="S28" i="6"/>
  <c r="R28" i="6"/>
  <c r="Q28" i="6"/>
  <c r="P28" i="6"/>
  <c r="P26" i="6" s="1"/>
  <c r="P24" i="6" s="1"/>
  <c r="O28" i="6"/>
  <c r="N28" i="6"/>
  <c r="M28" i="6"/>
  <c r="L28" i="6"/>
  <c r="K28" i="6"/>
  <c r="J28" i="6"/>
  <c r="I28" i="6"/>
  <c r="H28" i="6"/>
  <c r="H26" i="6" s="1"/>
  <c r="H24" i="6" s="1"/>
  <c r="G28" i="6"/>
  <c r="AA27" i="6"/>
  <c r="Z27" i="6"/>
  <c r="Y27" i="6"/>
  <c r="X27" i="6"/>
  <c r="W27" i="6"/>
  <c r="V27" i="6"/>
  <c r="U27" i="6"/>
  <c r="U26" i="6" s="1"/>
  <c r="U24" i="6" s="1"/>
  <c r="T27" i="6"/>
  <c r="S27" i="6"/>
  <c r="R27" i="6"/>
  <c r="Q27" i="6"/>
  <c r="P27" i="6"/>
  <c r="O27" i="6"/>
  <c r="N27" i="6"/>
  <c r="M27" i="6"/>
  <c r="M26" i="6" s="1"/>
  <c r="M24" i="6" s="1"/>
  <c r="L27" i="6"/>
  <c r="K27" i="6"/>
  <c r="J27" i="6"/>
  <c r="I27" i="6"/>
  <c r="H27" i="6"/>
  <c r="G27" i="6"/>
  <c r="Z26" i="6"/>
  <c r="Z24" i="6" s="1"/>
  <c r="Y26" i="6"/>
  <c r="W26" i="6"/>
  <c r="V26" i="6"/>
  <c r="T26" i="6"/>
  <c r="R26" i="6"/>
  <c r="R24" i="6" s="1"/>
  <c r="Q26" i="6"/>
  <c r="O26" i="6"/>
  <c r="N26" i="6"/>
  <c r="L26" i="6"/>
  <c r="K26" i="6"/>
  <c r="J26" i="6"/>
  <c r="J24" i="6" s="1"/>
  <c r="I26" i="6"/>
  <c r="G26" i="6"/>
  <c r="AA25" i="6"/>
  <c r="Z25" i="6"/>
  <c r="Y25" i="6"/>
  <c r="X25" i="6"/>
  <c r="W25" i="6"/>
  <c r="W24" i="6" s="1"/>
  <c r="V25" i="6"/>
  <c r="U25" i="6"/>
  <c r="T25" i="6"/>
  <c r="S25" i="6"/>
  <c r="R25" i="6"/>
  <c r="Q25" i="6"/>
  <c r="P25" i="6"/>
  <c r="O25" i="6"/>
  <c r="O24" i="6" s="1"/>
  <c r="N25" i="6"/>
  <c r="N24" i="6" s="1"/>
  <c r="M25" i="6"/>
  <c r="L25" i="6"/>
  <c r="K25" i="6"/>
  <c r="J25" i="6"/>
  <c r="I25" i="6"/>
  <c r="H25" i="6"/>
  <c r="G25" i="6"/>
  <c r="G24" i="6" s="1"/>
  <c r="Y24" i="6"/>
  <c r="V24" i="6"/>
  <c r="T24" i="6"/>
  <c r="Q24" i="6"/>
  <c r="L24" i="6"/>
  <c r="K24" i="6"/>
  <c r="I24" i="6"/>
  <c r="O20" i="6"/>
  <c r="N20" i="6"/>
  <c r="M20" i="6" s="1"/>
  <c r="L20" i="6" s="1"/>
  <c r="K20" i="6" s="1"/>
  <c r="J20" i="6" s="1"/>
  <c r="I20" i="6" s="1"/>
  <c r="H20" i="6" s="1"/>
  <c r="O18" i="6"/>
  <c r="P18" i="6" s="1"/>
  <c r="M18" i="6"/>
  <c r="L18" i="6" s="1"/>
  <c r="K18" i="6" s="1"/>
  <c r="J18" i="6" s="1"/>
  <c r="I18" i="6" s="1"/>
  <c r="H18" i="6" s="1"/>
  <c r="G18" i="6" s="1"/>
  <c r="P16" i="6"/>
  <c r="O16" i="6"/>
  <c r="M16" i="6"/>
  <c r="L16" i="6" s="1"/>
  <c r="K16" i="6" s="1"/>
  <c r="J16" i="6" s="1"/>
  <c r="I16" i="6" s="1"/>
  <c r="H16" i="6" s="1"/>
  <c r="G16" i="6" s="1"/>
  <c r="N14" i="6"/>
  <c r="O14" i="6" s="1"/>
  <c r="M14" i="6"/>
  <c r="L14" i="6"/>
  <c r="K14" i="6" s="1"/>
  <c r="J14" i="6" s="1"/>
  <c r="I14" i="6" s="1"/>
  <c r="H14" i="6" s="1"/>
  <c r="G14" i="6" s="1"/>
  <c r="O12" i="6"/>
  <c r="P12" i="6" s="1"/>
  <c r="N12" i="6"/>
  <c r="M12" i="6" s="1"/>
  <c r="N8" i="6"/>
  <c r="M8" i="6"/>
  <c r="L8" i="6" s="1"/>
  <c r="L12" i="6" l="1"/>
  <c r="M10" i="6"/>
  <c r="M7" i="6" s="1"/>
  <c r="Q12" i="6"/>
  <c r="P14" i="6"/>
  <c r="K8" i="6"/>
  <c r="J38" i="6"/>
  <c r="J41" i="6"/>
  <c r="J42" i="6" s="1"/>
  <c r="N7" i="6"/>
  <c r="N9" i="6" s="1"/>
  <c r="N36" i="6"/>
  <c r="N40" i="6"/>
  <c r="N43" i="6"/>
  <c r="O8" i="6"/>
  <c r="Q16" i="6"/>
  <c r="H82" i="6"/>
  <c r="P82" i="6"/>
  <c r="X82" i="6"/>
  <c r="M177" i="6"/>
  <c r="U177" i="6"/>
  <c r="N10" i="6"/>
  <c r="O10" i="6"/>
  <c r="O13" i="6" s="1"/>
  <c r="N13" i="6"/>
  <c r="J132" i="6"/>
  <c r="R132" i="6"/>
  <c r="Z132" i="6"/>
  <c r="M132" i="6"/>
  <c r="U132" i="6"/>
  <c r="O190" i="6"/>
  <c r="O21" i="6"/>
  <c r="P20" i="6"/>
  <c r="G48" i="6"/>
  <c r="P54" i="6"/>
  <c r="X54" i="6"/>
  <c r="U151" i="6"/>
  <c r="P151" i="6"/>
  <c r="X151" i="6"/>
  <c r="X198" i="6"/>
  <c r="Q255" i="6"/>
  <c r="I36" i="6"/>
  <c r="I43" i="6" s="1"/>
  <c r="N15" i="6"/>
  <c r="P190" i="6"/>
  <c r="O46" i="6"/>
  <c r="R199" i="6"/>
  <c r="R264" i="6"/>
  <c r="Q18" i="6"/>
  <c r="J40" i="6"/>
  <c r="P270" i="6"/>
  <c r="Q270" i="6" s="1"/>
  <c r="R270" i="6" s="1"/>
  <c r="S270" i="6" s="1"/>
  <c r="T270" i="6" s="1"/>
  <c r="U270" i="6" s="1"/>
  <c r="V270" i="6" s="1"/>
  <c r="W270" i="6" s="1"/>
  <c r="X270" i="6" s="1"/>
  <c r="Y270" i="6" s="1"/>
  <c r="Z270" i="6" s="1"/>
  <c r="AA270" i="6" s="1"/>
  <c r="O262" i="6"/>
  <c r="O39" i="6" s="1"/>
  <c r="O17" i="6"/>
  <c r="J48" i="6"/>
  <c r="G43" i="6"/>
  <c r="O19" i="6"/>
  <c r="G40" i="6"/>
  <c r="H43" i="6"/>
  <c r="Q256" i="6"/>
  <c r="S257" i="6"/>
  <c r="R257" i="6"/>
  <c r="P344" i="6"/>
  <c r="R256" i="6"/>
  <c r="Q346" i="6"/>
  <c r="N21" i="6"/>
  <c r="Q254" i="6"/>
  <c r="Q46" i="6" s="1"/>
  <c r="P262" i="6"/>
  <c r="O344" i="6"/>
  <c r="P337" i="6"/>
  <c r="B115" i="5"/>
  <c r="A115" i="5"/>
  <c r="B114" i="5"/>
  <c r="A114" i="5"/>
  <c r="B113" i="5"/>
  <c r="B112" i="5"/>
  <c r="B111" i="5"/>
  <c r="A111" i="5"/>
  <c r="Q10" i="6" l="1"/>
  <c r="Q13" i="6" s="1"/>
  <c r="R12" i="6"/>
  <c r="P335" i="6"/>
  <c r="Q337" i="6"/>
  <c r="Q190" i="6"/>
  <c r="J8" i="6"/>
  <c r="U256" i="6"/>
  <c r="S256" i="6"/>
  <c r="S199" i="6"/>
  <c r="U257" i="6"/>
  <c r="T257" i="6"/>
  <c r="P39" i="6"/>
  <c r="V257" i="6"/>
  <c r="O38" i="6"/>
  <c r="O43" i="6" s="1"/>
  <c r="O41" i="6"/>
  <c r="O42" i="6" s="1"/>
  <c r="L10" i="6"/>
  <c r="L7" i="6" s="1"/>
  <c r="K12" i="6"/>
  <c r="O47" i="6"/>
  <c r="O48" i="6"/>
  <c r="T254" i="6"/>
  <c r="R254" i="6"/>
  <c r="T256" i="6"/>
  <c r="R46" i="6"/>
  <c r="R255" i="6"/>
  <c r="S255" i="6" s="1"/>
  <c r="N19" i="6"/>
  <c r="N17" i="6"/>
  <c r="N11" i="6"/>
  <c r="Q14" i="6"/>
  <c r="S254" i="6"/>
  <c r="R18" i="6"/>
  <c r="P41" i="6"/>
  <c r="R16" i="6"/>
  <c r="J36" i="6"/>
  <c r="J43" i="6"/>
  <c r="O15" i="6"/>
  <c r="P38" i="6"/>
  <c r="Y198" i="6"/>
  <c r="O7" i="6"/>
  <c r="O9" i="6" s="1"/>
  <c r="P8" i="6"/>
  <c r="S264" i="6"/>
  <c r="R262" i="6"/>
  <c r="Q344" i="6"/>
  <c r="R346" i="6"/>
  <c r="Q262" i="6"/>
  <c r="P21" i="6"/>
  <c r="Q20" i="6"/>
  <c r="P10" i="6"/>
  <c r="P42" i="6" l="1"/>
  <c r="P48" i="6"/>
  <c r="P40" i="6"/>
  <c r="R344" i="6"/>
  <c r="S346" i="6"/>
  <c r="Z198" i="6"/>
  <c r="O11" i="6"/>
  <c r="I8" i="6"/>
  <c r="P43" i="6"/>
  <c r="P47" i="6"/>
  <c r="S18" i="6"/>
  <c r="K10" i="6"/>
  <c r="K7" i="6" s="1"/>
  <c r="J12" i="6"/>
  <c r="W257" i="6"/>
  <c r="X257" i="6" s="1"/>
  <c r="Y257" i="6" s="1"/>
  <c r="Q41" i="6"/>
  <c r="R190" i="6"/>
  <c r="Q335" i="6"/>
  <c r="Q38" i="6" s="1"/>
  <c r="R337" i="6"/>
  <c r="Q19" i="6"/>
  <c r="S262" i="6"/>
  <c r="T264" i="6"/>
  <c r="P11" i="6"/>
  <c r="P17" i="6"/>
  <c r="P19" i="6"/>
  <c r="P13" i="6"/>
  <c r="T199" i="6"/>
  <c r="S46" i="6"/>
  <c r="S190" i="6"/>
  <c r="S16" i="6"/>
  <c r="V254" i="6"/>
  <c r="P7" i="6"/>
  <c r="Q8" i="6"/>
  <c r="P9" i="6"/>
  <c r="P15" i="6"/>
  <c r="R20" i="6"/>
  <c r="Q21" i="6"/>
  <c r="Q17" i="6"/>
  <c r="Q15" i="6"/>
  <c r="R14" i="6"/>
  <c r="U254" i="6"/>
  <c r="W254" i="6" s="1"/>
  <c r="T255" i="6"/>
  <c r="U255" i="6" s="1"/>
  <c r="V256" i="6"/>
  <c r="R10" i="6"/>
  <c r="S12" i="6"/>
  <c r="O40" i="6"/>
  <c r="Q43" i="6" l="1"/>
  <c r="Q47" i="6"/>
  <c r="T12" i="6"/>
  <c r="Q39" i="6"/>
  <c r="Q40" i="6" s="1"/>
  <c r="S337" i="6"/>
  <c r="R335" i="6"/>
  <c r="R39" i="6" s="1"/>
  <c r="R41" i="6"/>
  <c r="H8" i="6"/>
  <c r="S344" i="6"/>
  <c r="T346" i="6"/>
  <c r="R17" i="6"/>
  <c r="R13" i="6"/>
  <c r="S20" i="6"/>
  <c r="R21" i="6"/>
  <c r="T16" i="6"/>
  <c r="J10" i="6"/>
  <c r="J7" i="6" s="1"/>
  <c r="I12" i="6"/>
  <c r="S41" i="6"/>
  <c r="T262" i="6"/>
  <c r="U264" i="6"/>
  <c r="T18" i="6"/>
  <c r="Q7" i="6"/>
  <c r="Q11" i="6" s="1"/>
  <c r="R8" i="6"/>
  <c r="U199" i="6"/>
  <c r="T190" i="6"/>
  <c r="T46" i="6"/>
  <c r="R19" i="6"/>
  <c r="AA198" i="6"/>
  <c r="S48" i="6"/>
  <c r="Q42" i="6"/>
  <c r="Q48" i="6"/>
  <c r="X254" i="6"/>
  <c r="Y254" i="6" s="1"/>
  <c r="R15" i="6"/>
  <c r="S14" i="6"/>
  <c r="S10" i="6" s="1"/>
  <c r="W256" i="6"/>
  <c r="V255" i="6"/>
  <c r="W255" i="6" s="1"/>
  <c r="AA70" i="1"/>
  <c r="Z70" i="1"/>
  <c r="Y70" i="1"/>
  <c r="AA69" i="1"/>
  <c r="Z69" i="1"/>
  <c r="Y69" i="1"/>
  <c r="AA68" i="1"/>
  <c r="Z68" i="1"/>
  <c r="Y68" i="1"/>
  <c r="AA67" i="1"/>
  <c r="Z67" i="1"/>
  <c r="Y67" i="1"/>
  <c r="AA66" i="1"/>
  <c r="Z66" i="1"/>
  <c r="Y66" i="1"/>
  <c r="AA65" i="1"/>
  <c r="Z65" i="1"/>
  <c r="Y65" i="1"/>
  <c r="AA64" i="1"/>
  <c r="Z64" i="1"/>
  <c r="Y64" i="1"/>
  <c r="AA63" i="1"/>
  <c r="Z63" i="1"/>
  <c r="Y63" i="1"/>
  <c r="AA62" i="1"/>
  <c r="Z62" i="1"/>
  <c r="Y62" i="1"/>
  <c r="AA61" i="1"/>
  <c r="Z61" i="1"/>
  <c r="Y61" i="1"/>
  <c r="AA60" i="1"/>
  <c r="Z60" i="1"/>
  <c r="Y60" i="1"/>
  <c r="AA59" i="1"/>
  <c r="Z59" i="1"/>
  <c r="Y59" i="1"/>
  <c r="AA58" i="1"/>
  <c r="Z58" i="1"/>
  <c r="Y58" i="1"/>
  <c r="AA57" i="1"/>
  <c r="Z57" i="1"/>
  <c r="Y57" i="1"/>
  <c r="AA56" i="1"/>
  <c r="Z56" i="1"/>
  <c r="Y56" i="1"/>
  <c r="AA55" i="1"/>
  <c r="Z55" i="1"/>
  <c r="Y55" i="1"/>
  <c r="AA54" i="1"/>
  <c r="Z54" i="1"/>
  <c r="Y54" i="1"/>
  <c r="AA53" i="1"/>
  <c r="Z53" i="1"/>
  <c r="Y53" i="1"/>
  <c r="AA52" i="1"/>
  <c r="Z52" i="1"/>
  <c r="Y52" i="1"/>
  <c r="AA51" i="1"/>
  <c r="Z51" i="1"/>
  <c r="Y51" i="1"/>
  <c r="AA50" i="1"/>
  <c r="Z50" i="1"/>
  <c r="Y50" i="1"/>
  <c r="V50" i="1"/>
  <c r="AA49" i="1"/>
  <c r="Z49" i="1"/>
  <c r="Y49" i="1"/>
  <c r="V49" i="1"/>
  <c r="AA48" i="1"/>
  <c r="Z48" i="1"/>
  <c r="Y48" i="1"/>
  <c r="AA47" i="1"/>
  <c r="Z47" i="1"/>
  <c r="Y47" i="1"/>
  <c r="V47" i="1"/>
  <c r="AA46" i="1"/>
  <c r="Z46" i="1"/>
  <c r="Y46" i="1"/>
  <c r="AA45" i="1"/>
  <c r="Z45" i="1"/>
  <c r="Y45" i="1"/>
  <c r="AA44" i="1"/>
  <c r="Z44" i="1"/>
  <c r="Y44" i="1"/>
  <c r="AA43" i="1"/>
  <c r="Z43" i="1"/>
  <c r="Y43" i="1"/>
  <c r="AA42" i="1"/>
  <c r="Z42" i="1"/>
  <c r="Y42" i="1"/>
  <c r="AA41" i="1"/>
  <c r="Z41" i="1"/>
  <c r="Y41" i="1"/>
  <c r="AA40" i="1"/>
  <c r="Z40" i="1"/>
  <c r="Y40" i="1"/>
  <c r="AA39" i="1"/>
  <c r="Z39" i="1"/>
  <c r="Y39" i="1"/>
  <c r="AA38" i="1"/>
  <c r="Z38" i="1"/>
  <c r="Y38" i="1"/>
  <c r="AA37" i="1"/>
  <c r="Z37" i="1"/>
  <c r="Y37" i="1"/>
  <c r="AA36" i="1"/>
  <c r="Z36" i="1"/>
  <c r="Y36" i="1"/>
  <c r="AA35" i="1"/>
  <c r="Z35" i="1"/>
  <c r="Y35" i="1"/>
  <c r="AA34" i="1"/>
  <c r="Z34" i="1"/>
  <c r="Y34" i="1"/>
  <c r="AA33" i="1"/>
  <c r="Z33" i="1"/>
  <c r="Y33" i="1"/>
  <c r="AA32" i="1"/>
  <c r="Z32" i="1"/>
  <c r="Y32" i="1"/>
  <c r="AF31" i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A31" i="1"/>
  <c r="Z31" i="1"/>
  <c r="Y31" i="1"/>
  <c r="AA26" i="1"/>
  <c r="Z26" i="1"/>
  <c r="Y26" i="1"/>
  <c r="AA25" i="1"/>
  <c r="Z25" i="1"/>
  <c r="Y25" i="1"/>
  <c r="AA24" i="1"/>
  <c r="Z24" i="1"/>
  <c r="Y24" i="1"/>
  <c r="AA23" i="1"/>
  <c r="Z23" i="1"/>
  <c r="Y23" i="1"/>
  <c r="AA22" i="1"/>
  <c r="Z22" i="1"/>
  <c r="Y22" i="1"/>
  <c r="AA21" i="1"/>
  <c r="Z21" i="1"/>
  <c r="Y21" i="1"/>
  <c r="AA20" i="1"/>
  <c r="Z20" i="1"/>
  <c r="Y20" i="1"/>
  <c r="AA19" i="1"/>
  <c r="Z19" i="1"/>
  <c r="Y19" i="1"/>
  <c r="AG18" i="1"/>
  <c r="AG19" i="1" s="1"/>
  <c r="AA18" i="1"/>
  <c r="Z18" i="1"/>
  <c r="Y18" i="1"/>
  <c r="X18" i="1"/>
  <c r="X19" i="1" s="1"/>
  <c r="X20" i="1" s="1"/>
  <c r="X21" i="1" s="1"/>
  <c r="X22" i="1" s="1"/>
  <c r="X23" i="1" s="1"/>
  <c r="X24" i="1" s="1"/>
  <c r="X25" i="1" s="1"/>
  <c r="X26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AG17" i="1"/>
  <c r="AB17" i="1"/>
  <c r="AA17" i="1"/>
  <c r="Z17" i="1"/>
  <c r="Y17" i="1"/>
  <c r="X17" i="1"/>
  <c r="W17" i="1"/>
  <c r="W18" i="1" s="1"/>
  <c r="W19" i="1" s="1"/>
  <c r="W20" i="1" s="1"/>
  <c r="W21" i="1" s="1"/>
  <c r="W22" i="1" s="1"/>
  <c r="W23" i="1" s="1"/>
  <c r="W24" i="1" s="1"/>
  <c r="W25" i="1" s="1"/>
  <c r="W26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V17" i="1"/>
  <c r="V18" i="1" s="1"/>
  <c r="AA16" i="1"/>
  <c r="Z16" i="1"/>
  <c r="Y16" i="1"/>
  <c r="AC16" i="1" s="1"/>
  <c r="AD14" i="1"/>
  <c r="AA14" i="1"/>
  <c r="Z14" i="1"/>
  <c r="Y14" i="1"/>
  <c r="Y256" i="6" l="1"/>
  <c r="S13" i="6"/>
  <c r="S17" i="6"/>
  <c r="S19" i="6"/>
  <c r="X255" i="6"/>
  <c r="T337" i="6"/>
  <c r="S335" i="6"/>
  <c r="T41" i="6"/>
  <c r="T48" i="6" s="1"/>
  <c r="U16" i="6"/>
  <c r="X256" i="6"/>
  <c r="R7" i="6"/>
  <c r="R11" i="6" s="1"/>
  <c r="S8" i="6"/>
  <c r="U12" i="6"/>
  <c r="Y255" i="6"/>
  <c r="V199" i="6"/>
  <c r="U190" i="6"/>
  <c r="U46" i="6"/>
  <c r="V264" i="6"/>
  <c r="U262" i="6"/>
  <c r="G8" i="6"/>
  <c r="Q9" i="6"/>
  <c r="T20" i="6"/>
  <c r="S21" i="6"/>
  <c r="R48" i="6"/>
  <c r="T14" i="6"/>
  <c r="S15" i="6"/>
  <c r="R38" i="6"/>
  <c r="U18" i="6"/>
  <c r="I10" i="6"/>
  <c r="I7" i="6" s="1"/>
  <c r="H12" i="6"/>
  <c r="T344" i="6"/>
  <c r="U346" i="6"/>
  <c r="AG20" i="1"/>
  <c r="AC18" i="1"/>
  <c r="AB18" i="1"/>
  <c r="AD18" i="1" s="1"/>
  <c r="AE18" i="1" s="1"/>
  <c r="AH18" i="1" s="1"/>
  <c r="V19" i="1"/>
  <c r="AC46" i="1"/>
  <c r="W47" i="1"/>
  <c r="AB46" i="1"/>
  <c r="AD46" i="1" s="1"/>
  <c r="AE46" i="1" s="1"/>
  <c r="AC17" i="1"/>
  <c r="AD17" i="1" s="1"/>
  <c r="AE17" i="1" s="1"/>
  <c r="AH17" i="1" s="1"/>
  <c r="AB16" i="1"/>
  <c r="AD16" i="1" s="1"/>
  <c r="AE16" i="1" s="1"/>
  <c r="AH16" i="1" s="1"/>
  <c r="V18" i="6" l="1"/>
  <c r="W199" i="6"/>
  <c r="V46" i="6"/>
  <c r="V190" i="6"/>
  <c r="U344" i="6"/>
  <c r="V346" i="6"/>
  <c r="V16" i="6"/>
  <c r="T335" i="6"/>
  <c r="U337" i="6"/>
  <c r="R43" i="6"/>
  <c r="R47" i="6"/>
  <c r="H10" i="6"/>
  <c r="H7" i="6" s="1"/>
  <c r="G12" i="6"/>
  <c r="G10" i="6" s="1"/>
  <c r="G7" i="6" s="1"/>
  <c r="U14" i="6"/>
  <c r="U10" i="6" s="1"/>
  <c r="T15" i="6"/>
  <c r="T10" i="6"/>
  <c r="V12" i="6"/>
  <c r="R42" i="6"/>
  <c r="W264" i="6"/>
  <c r="V262" i="6"/>
  <c r="U48" i="6"/>
  <c r="R9" i="6"/>
  <c r="R40" i="6"/>
  <c r="U20" i="6"/>
  <c r="T21" i="6"/>
  <c r="U41" i="6"/>
  <c r="S7" i="6"/>
  <c r="S11" i="6" s="1"/>
  <c r="T8" i="6"/>
  <c r="S38" i="6"/>
  <c r="S39" i="6"/>
  <c r="S40" i="6" s="1"/>
  <c r="V20" i="1"/>
  <c r="AC19" i="1"/>
  <c r="AB19" i="1"/>
  <c r="AD19" i="1" s="1"/>
  <c r="AE19" i="1" s="1"/>
  <c r="AH19" i="1" s="1"/>
  <c r="AC47" i="1"/>
  <c r="W48" i="1"/>
  <c r="W49" i="1" s="1"/>
  <c r="AB47" i="1"/>
  <c r="AD47" i="1" s="1"/>
  <c r="AE47" i="1" s="1"/>
  <c r="AG21" i="1"/>
  <c r="U19" i="6" l="1"/>
  <c r="U13" i="6"/>
  <c r="U17" i="6"/>
  <c r="W16" i="6"/>
  <c r="W18" i="6"/>
  <c r="V20" i="6"/>
  <c r="U21" i="6"/>
  <c r="S43" i="6"/>
  <c r="S47" i="6"/>
  <c r="S42" i="6"/>
  <c r="W346" i="6"/>
  <c r="V344" i="6"/>
  <c r="U8" i="6"/>
  <c r="T9" i="6"/>
  <c r="T7" i="6"/>
  <c r="U15" i="6"/>
  <c r="V14" i="6"/>
  <c r="S9" i="6"/>
  <c r="T11" i="6"/>
  <c r="T19" i="6"/>
  <c r="T17" i="6"/>
  <c r="T13" i="6"/>
  <c r="U335" i="6"/>
  <c r="V337" i="6"/>
  <c r="X199" i="6"/>
  <c r="W190" i="6"/>
  <c r="W46" i="6"/>
  <c r="V10" i="6"/>
  <c r="V17" i="6" s="1"/>
  <c r="W12" i="6"/>
  <c r="V41" i="6"/>
  <c r="X264" i="6"/>
  <c r="W262" i="6"/>
  <c r="T38" i="6"/>
  <c r="T39" i="6"/>
  <c r="AG22" i="1"/>
  <c r="AC20" i="1"/>
  <c r="AB20" i="1"/>
  <c r="V21" i="1"/>
  <c r="AC49" i="1"/>
  <c r="W50" i="1"/>
  <c r="AB49" i="1"/>
  <c r="AD49" i="1" s="1"/>
  <c r="AE49" i="1" s="1"/>
  <c r="T43" i="6" l="1"/>
  <c r="T47" i="6"/>
  <c r="T42" i="6"/>
  <c r="W41" i="6"/>
  <c r="W48" i="6" s="1"/>
  <c r="Y199" i="6"/>
  <c r="X190" i="6"/>
  <c r="X46" i="6"/>
  <c r="V8" i="6"/>
  <c r="U7" i="6"/>
  <c r="U11" i="6" s="1"/>
  <c r="U9" i="6"/>
  <c r="V19" i="6"/>
  <c r="V335" i="6"/>
  <c r="W337" i="6"/>
  <c r="V48" i="6"/>
  <c r="X18" i="6"/>
  <c r="V21" i="6"/>
  <c r="W20" i="6"/>
  <c r="X262" i="6"/>
  <c r="Y264" i="6"/>
  <c r="U38" i="6"/>
  <c r="U39" i="6"/>
  <c r="U40" i="6" s="1"/>
  <c r="X346" i="6"/>
  <c r="W344" i="6"/>
  <c r="X12" i="6"/>
  <c r="X16" i="6"/>
  <c r="V15" i="6"/>
  <c r="W14" i="6"/>
  <c r="W10" i="6" s="1"/>
  <c r="T40" i="6"/>
  <c r="V13" i="6"/>
  <c r="W51" i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AB50" i="1"/>
  <c r="AC50" i="1"/>
  <c r="AD20" i="1"/>
  <c r="AE20" i="1" s="1"/>
  <c r="AH20" i="1" s="1"/>
  <c r="V22" i="1"/>
  <c r="AB21" i="1"/>
  <c r="AC21" i="1"/>
  <c r="AG23" i="1"/>
  <c r="W19" i="6" l="1"/>
  <c r="W13" i="6"/>
  <c r="W17" i="6"/>
  <c r="Y18" i="6"/>
  <c r="V9" i="6"/>
  <c r="W8" i="6"/>
  <c r="V7" i="6"/>
  <c r="V11" i="6" s="1"/>
  <c r="U43" i="6"/>
  <c r="U47" i="6"/>
  <c r="U42" i="6"/>
  <c r="Y16" i="6"/>
  <c r="Z264" i="6"/>
  <c r="Y262" i="6"/>
  <c r="W335" i="6"/>
  <c r="X337" i="6"/>
  <c r="X41" i="6"/>
  <c r="Y12" i="6"/>
  <c r="V38" i="6"/>
  <c r="V39" i="6"/>
  <c r="Z199" i="6"/>
  <c r="Y190" i="6"/>
  <c r="Y46" i="6"/>
  <c r="W21" i="6"/>
  <c r="X20" i="6"/>
  <c r="W15" i="6"/>
  <c r="X14" i="6"/>
  <c r="X344" i="6"/>
  <c r="Y346" i="6"/>
  <c r="AD50" i="1"/>
  <c r="AE50" i="1" s="1"/>
  <c r="AG24" i="1"/>
  <c r="AD21" i="1"/>
  <c r="AE21" i="1" s="1"/>
  <c r="AH21" i="1" s="1"/>
  <c r="AC22" i="1"/>
  <c r="V23" i="1"/>
  <c r="AB22" i="1"/>
  <c r="AD22" i="1" s="1"/>
  <c r="AE22" i="1" s="1"/>
  <c r="AH22" i="1" s="1"/>
  <c r="V43" i="6" l="1"/>
  <c r="V47" i="6"/>
  <c r="V42" i="6"/>
  <c r="Y20" i="6"/>
  <c r="X10" i="6"/>
  <c r="W7" i="6"/>
  <c r="W11" i="6" s="1"/>
  <c r="X8" i="6"/>
  <c r="Z12" i="6"/>
  <c r="AA264" i="6"/>
  <c r="AA262" i="6" s="1"/>
  <c r="Z262" i="6"/>
  <c r="Z16" i="6"/>
  <c r="Z18" i="6"/>
  <c r="Y344" i="6"/>
  <c r="Z346" i="6"/>
  <c r="X48" i="6"/>
  <c r="Y41" i="6"/>
  <c r="Y14" i="6"/>
  <c r="AA199" i="6"/>
  <c r="Z190" i="6"/>
  <c r="Z46" i="6"/>
  <c r="X335" i="6"/>
  <c r="Y337" i="6"/>
  <c r="Y48" i="6"/>
  <c r="V40" i="6"/>
  <c r="W39" i="6"/>
  <c r="W38" i="6"/>
  <c r="V24" i="1"/>
  <c r="AC23" i="1"/>
  <c r="AB23" i="1"/>
  <c r="AG25" i="1"/>
  <c r="Y15" i="6" l="1"/>
  <c r="Z14" i="6"/>
  <c r="X7" i="6"/>
  <c r="X9" i="6"/>
  <c r="Y8" i="6"/>
  <c r="Y335" i="6"/>
  <c r="Z337" i="6"/>
  <c r="AA16" i="6"/>
  <c r="W9" i="6"/>
  <c r="X38" i="6"/>
  <c r="X39" i="6"/>
  <c r="X40" i="6" s="1"/>
  <c r="X11" i="6"/>
  <c r="X13" i="6"/>
  <c r="X19" i="6"/>
  <c r="X17" i="6"/>
  <c r="W43" i="6"/>
  <c r="W47" i="6"/>
  <c r="W42" i="6"/>
  <c r="Z41" i="6"/>
  <c r="Z344" i="6"/>
  <c r="AA346" i="6"/>
  <c r="AA344" i="6" s="1"/>
  <c r="AA12" i="6"/>
  <c r="Z10" i="6"/>
  <c r="Z19" i="6" s="1"/>
  <c r="Z20" i="6"/>
  <c r="W40" i="6"/>
  <c r="AA46" i="6"/>
  <c r="AA190" i="6"/>
  <c r="Y10" i="6"/>
  <c r="Y21" i="6" s="1"/>
  <c r="X21" i="6"/>
  <c r="X15" i="6"/>
  <c r="AA18" i="6"/>
  <c r="AD23" i="1"/>
  <c r="AE23" i="1" s="1"/>
  <c r="AH23" i="1" s="1"/>
  <c r="AC24" i="1"/>
  <c r="AB24" i="1"/>
  <c r="AD24" i="1" s="1"/>
  <c r="AE24" i="1" s="1"/>
  <c r="AH24" i="1" s="1"/>
  <c r="V25" i="1"/>
  <c r="AG26" i="1"/>
  <c r="AA337" i="6" l="1"/>
  <c r="AA335" i="6" s="1"/>
  <c r="AA39" i="6" s="1"/>
  <c r="Z335" i="6"/>
  <c r="Y39" i="6"/>
  <c r="Y38" i="6"/>
  <c r="AA20" i="6"/>
  <c r="Z21" i="6"/>
  <c r="Y7" i="6"/>
  <c r="Z8" i="6"/>
  <c r="Y9" i="6"/>
  <c r="X43" i="6"/>
  <c r="X47" i="6"/>
  <c r="X42" i="6"/>
  <c r="Y11" i="6"/>
  <c r="Y13" i="6"/>
  <c r="Y17" i="6"/>
  <c r="Y19" i="6"/>
  <c r="Z13" i="6"/>
  <c r="AA38" i="6"/>
  <c r="AA43" i="6" s="1"/>
  <c r="AA41" i="6"/>
  <c r="AA42" i="6" s="1"/>
  <c r="Z17" i="6"/>
  <c r="AA14" i="6"/>
  <c r="AA10" i="6" s="1"/>
  <c r="Z15" i="6"/>
  <c r="AG31" i="1"/>
  <c r="V26" i="1"/>
  <c r="AB25" i="1"/>
  <c r="AD25" i="1" s="1"/>
  <c r="AE25" i="1" s="1"/>
  <c r="AH25" i="1" s="1"/>
  <c r="AC25" i="1"/>
  <c r="AA19" i="6" l="1"/>
  <c r="AA13" i="6"/>
  <c r="AA17" i="6"/>
  <c r="AA21" i="6"/>
  <c r="AA47" i="6"/>
  <c r="Y43" i="6"/>
  <c r="Y47" i="6"/>
  <c r="Y42" i="6"/>
  <c r="Y40" i="6"/>
  <c r="Z7" i="6"/>
  <c r="Z11" i="6" s="1"/>
  <c r="AA8" i="6"/>
  <c r="Z9" i="6"/>
  <c r="Z39" i="6"/>
  <c r="Z38" i="6"/>
  <c r="AA15" i="6"/>
  <c r="AA40" i="6"/>
  <c r="AG32" i="1"/>
  <c r="AB26" i="1"/>
  <c r="AC26" i="1"/>
  <c r="V31" i="1"/>
  <c r="Z43" i="6" l="1"/>
  <c r="Z47" i="6"/>
  <c r="Z42" i="6"/>
  <c r="Z40" i="6"/>
  <c r="AA7" i="6"/>
  <c r="AA9" i="6"/>
  <c r="AC31" i="1"/>
  <c r="AB31" i="1"/>
  <c r="V32" i="1"/>
  <c r="AD26" i="1"/>
  <c r="AE26" i="1" s="1"/>
  <c r="AH26" i="1" s="1"/>
  <c r="AG33" i="1"/>
  <c r="AC7" i="6" l="1"/>
  <c r="AA11" i="6"/>
  <c r="AC32" i="1"/>
  <c r="AB32" i="1"/>
  <c r="V33" i="1"/>
  <c r="AG34" i="1"/>
  <c r="AD31" i="1"/>
  <c r="AE31" i="1" s="1"/>
  <c r="AH31" i="1" s="1"/>
  <c r="AC33" i="1" l="1"/>
  <c r="AB33" i="1"/>
  <c r="V34" i="1"/>
  <c r="AG35" i="1"/>
  <c r="AD32" i="1"/>
  <c r="AE32" i="1" s="1"/>
  <c r="AH32" i="1" s="1"/>
  <c r="V35" i="1" l="1"/>
  <c r="AC34" i="1"/>
  <c r="AB34" i="1"/>
  <c r="AD34" i="1" s="1"/>
  <c r="AE34" i="1" s="1"/>
  <c r="AH34" i="1" s="1"/>
  <c r="AG36" i="1"/>
  <c r="AD33" i="1"/>
  <c r="AE33" i="1" s="1"/>
  <c r="AH33" i="1" s="1"/>
  <c r="AG37" i="1" l="1"/>
  <c r="AC35" i="1"/>
  <c r="AB35" i="1"/>
  <c r="AD35" i="1" s="1"/>
  <c r="AE35" i="1" s="1"/>
  <c r="AH35" i="1" s="1"/>
  <c r="V36" i="1"/>
  <c r="V37" i="1" l="1"/>
  <c r="AC36" i="1"/>
  <c r="AB36" i="1"/>
  <c r="AD36" i="1" s="1"/>
  <c r="AE36" i="1" s="1"/>
  <c r="AH36" i="1" s="1"/>
  <c r="AG38" i="1"/>
  <c r="AG39" i="1" l="1"/>
  <c r="AB37" i="1"/>
  <c r="V38" i="1"/>
  <c r="AC37" i="1"/>
  <c r="AC38" i="1" l="1"/>
  <c r="AB38" i="1"/>
  <c r="AD38" i="1" s="1"/>
  <c r="AE38" i="1" s="1"/>
  <c r="AH38" i="1" s="1"/>
  <c r="V39" i="1"/>
  <c r="AD37" i="1"/>
  <c r="AE37" i="1" s="1"/>
  <c r="AH37" i="1" s="1"/>
  <c r="AG40" i="1"/>
  <c r="AG41" i="1" l="1"/>
  <c r="AC39" i="1"/>
  <c r="AB39" i="1"/>
  <c r="AD39" i="1" s="1"/>
  <c r="AE39" i="1" s="1"/>
  <c r="AH39" i="1" s="1"/>
  <c r="V40" i="1"/>
  <c r="AC40" i="1" l="1"/>
  <c r="AB40" i="1"/>
  <c r="AD40" i="1" s="1"/>
  <c r="AE40" i="1" s="1"/>
  <c r="AH40" i="1" s="1"/>
  <c r="V41" i="1"/>
  <c r="AG42" i="1"/>
  <c r="AG43" i="1" l="1"/>
  <c r="AC41" i="1"/>
  <c r="AB41" i="1"/>
  <c r="AD41" i="1" s="1"/>
  <c r="AE41" i="1" s="1"/>
  <c r="AH41" i="1" s="1"/>
  <c r="V42" i="1"/>
  <c r="V43" i="1" l="1"/>
  <c r="AC42" i="1"/>
  <c r="AB42" i="1"/>
  <c r="AG44" i="1"/>
  <c r="AG45" i="1" l="1"/>
  <c r="AD42" i="1"/>
  <c r="AE42" i="1" s="1"/>
  <c r="AH42" i="1" s="1"/>
  <c r="AC43" i="1"/>
  <c r="AB43" i="1"/>
  <c r="AD43" i="1" s="1"/>
  <c r="AE43" i="1" s="1"/>
  <c r="AH43" i="1" s="1"/>
  <c r="V44" i="1"/>
  <c r="V45" i="1" l="1"/>
  <c r="AC44" i="1"/>
  <c r="AB44" i="1"/>
  <c r="AD44" i="1" s="1"/>
  <c r="AE44" i="1" s="1"/>
  <c r="AH44" i="1" s="1"/>
  <c r="AG46" i="1"/>
  <c r="AG47" i="1" l="1"/>
  <c r="AH46" i="1"/>
  <c r="V48" i="1"/>
  <c r="AB45" i="1"/>
  <c r="AC45" i="1"/>
  <c r="AD45" i="1" l="1"/>
  <c r="AE45" i="1" s="1"/>
  <c r="AH45" i="1" s="1"/>
  <c r="V51" i="1"/>
  <c r="AC48" i="1"/>
  <c r="AB48" i="1"/>
  <c r="AD48" i="1" s="1"/>
  <c r="AE48" i="1" s="1"/>
  <c r="AH47" i="1"/>
  <c r="AG48" i="1"/>
  <c r="AC51" i="1" l="1"/>
  <c r="AB51" i="1"/>
  <c r="AD51" i="1" s="1"/>
  <c r="AE51" i="1" s="1"/>
  <c r="V52" i="1"/>
  <c r="AG49" i="1"/>
  <c r="AH48" i="1"/>
  <c r="AG50" i="1" l="1"/>
  <c r="AH49" i="1"/>
  <c r="AC52" i="1"/>
  <c r="AB52" i="1"/>
  <c r="AD52" i="1" s="1"/>
  <c r="AE52" i="1" s="1"/>
  <c r="V53" i="1"/>
  <c r="AC53" i="1" l="1"/>
  <c r="AB53" i="1"/>
  <c r="AD53" i="1" s="1"/>
  <c r="AE53" i="1" s="1"/>
  <c r="V54" i="1"/>
  <c r="AH50" i="1"/>
  <c r="AG51" i="1"/>
  <c r="AG52" i="1" l="1"/>
  <c r="AH51" i="1"/>
  <c r="AC54" i="1"/>
  <c r="AB54" i="1"/>
  <c r="AD54" i="1" s="1"/>
  <c r="AE54" i="1" s="1"/>
  <c r="V55" i="1"/>
  <c r="V56" i="1" l="1"/>
  <c r="AC55" i="1"/>
  <c r="AB55" i="1"/>
  <c r="AD55" i="1" s="1"/>
  <c r="AE55" i="1" s="1"/>
  <c r="AH52" i="1"/>
  <c r="AG53" i="1"/>
  <c r="AH53" i="1" l="1"/>
  <c r="AG54" i="1"/>
  <c r="AC56" i="1"/>
  <c r="AB56" i="1"/>
  <c r="AD56" i="1" s="1"/>
  <c r="AE56" i="1" s="1"/>
  <c r="V57" i="1"/>
  <c r="AC57" i="1" l="1"/>
  <c r="AB57" i="1"/>
  <c r="AD57" i="1" s="1"/>
  <c r="AE57" i="1" s="1"/>
  <c r="V58" i="1"/>
  <c r="AG55" i="1"/>
  <c r="AH54" i="1"/>
  <c r="AH55" i="1" l="1"/>
  <c r="AG56" i="1"/>
  <c r="AB58" i="1"/>
  <c r="V59" i="1"/>
  <c r="AC58" i="1"/>
  <c r="AC59" i="1" l="1"/>
  <c r="AB59" i="1"/>
  <c r="AD59" i="1" s="1"/>
  <c r="AE59" i="1" s="1"/>
  <c r="V60" i="1"/>
  <c r="AG57" i="1"/>
  <c r="AH56" i="1"/>
  <c r="AD58" i="1"/>
  <c r="AE58" i="1" s="1"/>
  <c r="AG58" i="1" l="1"/>
  <c r="AH57" i="1"/>
  <c r="AC60" i="1"/>
  <c r="AB60" i="1"/>
  <c r="AD60" i="1" s="1"/>
  <c r="AE60" i="1" s="1"/>
  <c r="V61" i="1"/>
  <c r="AC61" i="1" l="1"/>
  <c r="AB61" i="1"/>
  <c r="AD61" i="1" s="1"/>
  <c r="AE61" i="1" s="1"/>
  <c r="V62" i="1"/>
  <c r="AH58" i="1"/>
  <c r="AG59" i="1"/>
  <c r="AG60" i="1" l="1"/>
  <c r="AH59" i="1"/>
  <c r="AC62" i="1"/>
  <c r="AB62" i="1"/>
  <c r="AD62" i="1" s="1"/>
  <c r="AE62" i="1" s="1"/>
  <c r="V63" i="1"/>
  <c r="V64" i="1" l="1"/>
  <c r="AC63" i="1"/>
  <c r="AB63" i="1"/>
  <c r="AH60" i="1"/>
  <c r="AG61" i="1"/>
  <c r="AH61" i="1" l="1"/>
  <c r="AG62" i="1"/>
  <c r="AD63" i="1"/>
  <c r="AE63" i="1" s="1"/>
  <c r="AC64" i="1"/>
  <c r="AB64" i="1"/>
  <c r="AD64" i="1" s="1"/>
  <c r="AE64" i="1" s="1"/>
  <c r="V65" i="1"/>
  <c r="AC65" i="1" l="1"/>
  <c r="AB65" i="1"/>
  <c r="AD65" i="1" s="1"/>
  <c r="AE65" i="1" s="1"/>
  <c r="V66" i="1"/>
  <c r="AG63" i="1"/>
  <c r="AH62" i="1"/>
  <c r="AH63" i="1" l="1"/>
  <c r="AG64" i="1"/>
  <c r="AB66" i="1"/>
  <c r="V67" i="1"/>
  <c r="AC66" i="1"/>
  <c r="AC67" i="1" l="1"/>
  <c r="AB67" i="1"/>
  <c r="AD67" i="1" s="1"/>
  <c r="AE67" i="1" s="1"/>
  <c r="V68" i="1"/>
  <c r="AG65" i="1"/>
  <c r="AH64" i="1"/>
  <c r="AD66" i="1"/>
  <c r="AE66" i="1" s="1"/>
  <c r="AG66" i="1" l="1"/>
  <c r="AH65" i="1"/>
  <c r="AC68" i="1"/>
  <c r="AB68" i="1"/>
  <c r="AD68" i="1" s="1"/>
  <c r="AE68" i="1" s="1"/>
  <c r="V69" i="1"/>
  <c r="AC69" i="1" l="1"/>
  <c r="AB69" i="1"/>
  <c r="AD69" i="1" s="1"/>
  <c r="AE69" i="1" s="1"/>
  <c r="V70" i="1"/>
  <c r="AH66" i="1"/>
  <c r="AG67" i="1"/>
  <c r="AG68" i="1" l="1"/>
  <c r="AH67" i="1"/>
  <c r="AC70" i="1"/>
  <c r="AB70" i="1"/>
  <c r="AD70" i="1" s="1"/>
  <c r="AE70" i="1" s="1"/>
  <c r="AH70" i="1" s="1"/>
  <c r="AH68" i="1" l="1"/>
  <c r="AG69" i="1"/>
  <c r="AH69" i="1" s="1"/>
</calcChain>
</file>

<file path=xl/sharedStrings.xml><?xml version="1.0" encoding="utf-8"?>
<sst xmlns="http://schemas.openxmlformats.org/spreadsheetml/2006/main" count="1073" uniqueCount="452">
  <si>
    <t>CNDC</t>
  </si>
  <si>
    <t>Informe de Precios de Nodo mayo - octubre 2018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</si>
  <si>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</si>
  <si>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</si>
  <si>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</si>
  <si>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</si>
  <si>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</si>
  <si>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Página 1 de 4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</si>
  <si>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</si>
  <si>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</si>
  <si>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</si>
  <si>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</si>
  <si>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</si>
  <si>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</si>
  <si>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</si>
  <si>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</si>
  <si>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</si>
  <si>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O&amp;M</t>
  </si>
  <si>
    <t>REPRESENTACION LINEAL DE COSTO</t>
  </si>
  <si>
    <t>COSTO (US$/MWh)</t>
  </si>
  <si>
    <t>Eje X</t>
  </si>
  <si>
    <t>Eje Y</t>
  </si>
  <si>
    <t>Estimacion Lineal</t>
  </si>
  <si>
    <t>(MMBTU/MWh)</t>
  </si>
  <si>
    <t>Eficiencia (%)</t>
  </si>
  <si>
    <t>Tipo de Combustible</t>
  </si>
  <si>
    <t>Factor de Emisiones</t>
  </si>
  <si>
    <t>50% (2)</t>
  </si>
  <si>
    <t>% carga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</si>
  <si>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</si>
  <si>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</si>
  <si>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</si>
  <si>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</si>
  <si>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</si>
  <si>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</si>
  <si>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</si>
  <si>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</si>
  <si>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US$/MWh</t>
  </si>
  <si>
    <t>a</t>
  </si>
  <si>
    <t>b</t>
  </si>
  <si>
    <t>Al 93%</t>
  </si>
  <si>
    <t>Al 92%</t>
  </si>
  <si>
    <t>Al 90%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</si>
  <si>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</si>
  <si>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</si>
  <si>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GCH01</t>
  </si>
  <si>
    <t>Gas Natural</t>
  </si>
  <si>
    <t>GCH02</t>
  </si>
  <si>
    <t>GCH04</t>
  </si>
  <si>
    <t>GCH06</t>
  </si>
  <si>
    <t>GCH09</t>
  </si>
  <si>
    <t>GCH10</t>
  </si>
  <si>
    <t>GCH11</t>
  </si>
  <si>
    <t>GCH09COM</t>
  </si>
  <si>
    <t>GCH10COM</t>
  </si>
  <si>
    <t>SCZ01</t>
  </si>
  <si>
    <t>SCZ02</t>
  </si>
  <si>
    <t>GBE01</t>
  </si>
  <si>
    <t>Biomasa</t>
  </si>
  <si>
    <t>IAG01</t>
  </si>
  <si>
    <t>UNA01</t>
  </si>
  <si>
    <t>SBU01</t>
  </si>
  <si>
    <t>BUL01</t>
  </si>
  <si>
    <t>BUL02</t>
  </si>
  <si>
    <t>BUL03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</si>
  <si>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</si>
  <si>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</si>
  <si>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</si>
  <si>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</si>
  <si>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</si>
  <si>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</si>
  <si>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</si>
  <si>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</si>
  <si>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</si>
  <si>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</si>
  <si>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</si>
  <si>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ARJ08</t>
  </si>
  <si>
    <t>ARJ09</t>
  </si>
  <si>
    <t>ARJ11</t>
  </si>
  <si>
    <t>ARJ12</t>
  </si>
  <si>
    <t>ARJ13</t>
  </si>
  <si>
    <t>ARJ14</t>
  </si>
  <si>
    <t>ARJ15</t>
  </si>
  <si>
    <t>KEN01</t>
  </si>
  <si>
    <t>KEN02</t>
  </si>
  <si>
    <t>ALT01</t>
  </si>
  <si>
    <t>ALT02</t>
  </si>
  <si>
    <t>ERI01</t>
  </si>
  <si>
    <t>ERI02</t>
  </si>
  <si>
    <t>ERI03</t>
  </si>
  <si>
    <t>ERI04</t>
  </si>
  <si>
    <t>KAR01</t>
  </si>
  <si>
    <t>SUR01</t>
  </si>
  <si>
    <t>SUR02</t>
  </si>
  <si>
    <t>SUR03</t>
  </si>
  <si>
    <t>SUR04</t>
  </si>
  <si>
    <t>WAR01</t>
  </si>
  <si>
    <t>WAR02</t>
  </si>
  <si>
    <t>WAR03</t>
  </si>
  <si>
    <t>WAR04</t>
  </si>
  <si>
    <t>WAR05</t>
  </si>
  <si>
    <t>MOS01</t>
  </si>
  <si>
    <t>Diesel Oil</t>
  </si>
  <si>
    <t>1)  Consumo propio, ventas directas y pérdidas entre bornes de generador y el SMEC</t>
  </si>
  <si>
    <t>2) Los valores en negrilla corresponden al 60%</t>
  </si>
  <si>
    <t>Scenarios. Nationally determined contribution</t>
  </si>
  <si>
    <t>Installed capacity</t>
  </si>
  <si>
    <t>Total capacity [MW]</t>
  </si>
  <si>
    <t>Fossil fuel based [MW]</t>
  </si>
  <si>
    <t>Fraction fossil fuels [%]</t>
  </si>
  <si>
    <t>Renewable energy [MW]</t>
  </si>
  <si>
    <t>Fraction renewable energy [%]</t>
  </si>
  <si>
    <t>Hydro [MW]</t>
  </si>
  <si>
    <t>Fraction hydro [%]</t>
  </si>
  <si>
    <t>Wind [MW]</t>
  </si>
  <si>
    <t>Fraction  wind [%]</t>
  </si>
  <si>
    <t>Solar [MW]</t>
  </si>
  <si>
    <t>Fraction solar [%]</t>
  </si>
  <si>
    <t>Geothermal [MW]</t>
  </si>
  <si>
    <t>Fraction geothermal [%]</t>
  </si>
  <si>
    <t>Biomass [MW]</t>
  </si>
  <si>
    <t>Fraction biomass [%]</t>
  </si>
  <si>
    <t>Capacity additions</t>
  </si>
  <si>
    <t>Total capacity additions [MW]</t>
  </si>
  <si>
    <t>Renewables [MW]</t>
  </si>
  <si>
    <t xml:space="preserve">Electricity demand  </t>
  </si>
  <si>
    <t>Electricity demand [MWh]</t>
  </si>
  <si>
    <t>Transmission and distribution losses [%]</t>
  </si>
  <si>
    <t>Total electricity demand [MWh]</t>
  </si>
  <si>
    <t>Total generation [MWh]</t>
  </si>
  <si>
    <t>Renewable energy generation [MWh]</t>
  </si>
  <si>
    <t>Fossil fuel based generation [MWh]</t>
  </si>
  <si>
    <t>Electricity surplus [MWh]</t>
  </si>
  <si>
    <t>Grid emission factor</t>
  </si>
  <si>
    <r>
      <t>Greenhouse gas emissions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e]</t>
    </r>
  </si>
  <si>
    <r>
      <t>Average operting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</si>
  <si>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r>
      <t>Simple operating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</si>
  <si>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t>Capacity additions 2018 - 2030</t>
  </si>
  <si>
    <r>
      <t xml:space="preserve">Plant         
   </t>
    </r>
    <r>
      <rPr>
        <sz val="10"/>
        <rFont val="Arial"/>
        <family val="2"/>
      </rPr>
      <t xml:space="preserve">  Unit</t>
    </r>
  </si>
  <si>
    <t>Commissioning date</t>
  </si>
  <si>
    <r>
      <t>Capacity</t>
    </r>
    <r>
      <rPr>
        <sz val="10"/>
        <rFont val="Arial"/>
        <family val="2"/>
      </rPr>
      <t xml:space="preserve"> [MW]</t>
    </r>
  </si>
  <si>
    <t>Capacity factor</t>
  </si>
  <si>
    <r>
      <t xml:space="preserve">Emission factor 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</si>
  <si>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r>
      <t xml:space="preserve">Generation </t>
    </r>
    <r>
      <rPr>
        <sz val="10"/>
        <rFont val="Arial"/>
        <family val="2"/>
      </rPr>
      <t>[MWh]</t>
    </r>
  </si>
  <si>
    <t>Natural gas</t>
  </si>
  <si>
    <t>Entre Ríos</t>
  </si>
  <si>
    <t>CCERI3</t>
  </si>
  <si>
    <t>CCERI4</t>
  </si>
  <si>
    <t>CCERI5</t>
  </si>
  <si>
    <t>Del Sur</t>
  </si>
  <si>
    <t>CCSUR1</t>
  </si>
  <si>
    <t>CCSUR2</t>
  </si>
  <si>
    <t>CCSUR3</t>
  </si>
  <si>
    <t>CCSUR4</t>
  </si>
  <si>
    <t>Warnes</t>
  </si>
  <si>
    <t>CCWAR1</t>
  </si>
  <si>
    <t>CCWAR2</t>
  </si>
  <si>
    <t>CCWAR3</t>
  </si>
  <si>
    <t>CCWAR4</t>
  </si>
  <si>
    <t>Guaracachi</t>
  </si>
  <si>
    <t>Santa Cruz</t>
  </si>
  <si>
    <t>Carrasco</t>
  </si>
  <si>
    <t>Natural Gas A</t>
  </si>
  <si>
    <t>Natural Gas B</t>
  </si>
  <si>
    <r>
      <t xml:space="preserve">Plant         
</t>
    </r>
    <r>
      <rPr>
        <sz val="10"/>
        <rFont val="Arial"/>
        <family val="2"/>
      </rPr>
      <t xml:space="preserve">     Unit</t>
    </r>
  </si>
  <si>
    <t>Hydropower</t>
  </si>
  <si>
    <t>San José</t>
  </si>
  <si>
    <t>San Jose I</t>
  </si>
  <si>
    <t>San José II</t>
  </si>
  <si>
    <t>Sehuencas</t>
  </si>
  <si>
    <t>Juntas</t>
  </si>
  <si>
    <t>Umapalca</t>
  </si>
  <si>
    <t>Palillada</t>
  </si>
  <si>
    <t>Ivirizu</t>
  </si>
  <si>
    <t>Banda Azul</t>
  </si>
  <si>
    <t>Pequenas centrales</t>
  </si>
  <si>
    <t>Carrizal</t>
  </si>
  <si>
    <t>Cambari</t>
  </si>
  <si>
    <t>Cuenca Corani</t>
  </si>
  <si>
    <t>Moliineros</t>
  </si>
  <si>
    <t>Rositas</t>
  </si>
  <si>
    <t>Icla</t>
  </si>
  <si>
    <t>Margarita</t>
  </si>
  <si>
    <t>Río Grande (excl. Juntas)</t>
  </si>
  <si>
    <t>Otras  nuevas plantas</t>
  </si>
  <si>
    <t>Cachuela Esperanza</t>
  </si>
  <si>
    <t>El Bala</t>
  </si>
  <si>
    <t>Hydro A</t>
  </si>
  <si>
    <t>Hydro B</t>
  </si>
  <si>
    <t>Hydro C</t>
  </si>
  <si>
    <t>Wind</t>
  </si>
  <si>
    <t>El Dorado</t>
  </si>
  <si>
    <t>La Ventolera</t>
  </si>
  <si>
    <t>San Julián</t>
  </si>
  <si>
    <t>Warnes I</t>
  </si>
  <si>
    <t>Warnes II</t>
  </si>
  <si>
    <t>Wind A</t>
  </si>
  <si>
    <t>Wind B</t>
  </si>
  <si>
    <t>Wind C</t>
  </si>
  <si>
    <t>Solar PV</t>
  </si>
  <si>
    <t>Oruro</t>
  </si>
  <si>
    <t>Oruro I</t>
  </si>
  <si>
    <t>Uyuni</t>
  </si>
  <si>
    <t>Yunchará</t>
  </si>
  <si>
    <t>Riberalta - Guayamerin</t>
  </si>
  <si>
    <t>Solar A</t>
  </si>
  <si>
    <t>Solar B</t>
  </si>
  <si>
    <t>Geothermal</t>
  </si>
  <si>
    <t>Laguna Colorada</t>
  </si>
  <si>
    <t xml:space="preserve">Laguna Colorada </t>
  </si>
  <si>
    <t>Biomass</t>
  </si>
  <si>
    <t>San Buenaventura</t>
  </si>
  <si>
    <t>Cobija</t>
  </si>
  <si>
    <t>Riberalta</t>
  </si>
  <si>
    <t>Existing plants</t>
  </si>
  <si>
    <r>
      <t xml:space="preserve">Emission factor (2017)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</si>
  <si>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t>El Alto</t>
  </si>
  <si>
    <t>ALT1</t>
  </si>
  <si>
    <t>ALT2</t>
  </si>
  <si>
    <t>Aranjuez</t>
  </si>
  <si>
    <t>ARJ1</t>
  </si>
  <si>
    <t>ARJ2</t>
  </si>
  <si>
    <t>ARJ3</t>
  </si>
  <si>
    <t>ARJ5</t>
  </si>
  <si>
    <t>ARJ6</t>
  </si>
  <si>
    <t>ARJ8</t>
  </si>
  <si>
    <t>ARJ9</t>
  </si>
  <si>
    <t>ARJ10</t>
  </si>
  <si>
    <t>Bulo Bulo</t>
  </si>
  <si>
    <t>BUL1</t>
  </si>
  <si>
    <t>BUL2</t>
  </si>
  <si>
    <t>BUL3</t>
  </si>
  <si>
    <t>CAR1</t>
  </si>
  <si>
    <t>CAR2</t>
  </si>
  <si>
    <t>CAR3</t>
  </si>
  <si>
    <t>GCH1</t>
  </si>
  <si>
    <t>GCH2</t>
  </si>
  <si>
    <t>GCH4</t>
  </si>
  <si>
    <t>GCH6</t>
  </si>
  <si>
    <t>GCH7</t>
  </si>
  <si>
    <t>GCH9</t>
  </si>
  <si>
    <t>GCH12</t>
  </si>
  <si>
    <t>Karachipampa</t>
  </si>
  <si>
    <t>KAR1</t>
  </si>
  <si>
    <t>Kenko</t>
  </si>
  <si>
    <t>KEN1</t>
  </si>
  <si>
    <t>KEN2</t>
  </si>
  <si>
    <t>SCZ1</t>
  </si>
  <si>
    <t>SCZ2</t>
  </si>
  <si>
    <t>Valle Hermoso (VHE)</t>
  </si>
  <si>
    <t>VHE1</t>
  </si>
  <si>
    <t>VHE2</t>
  </si>
  <si>
    <t>VHE3</t>
  </si>
  <si>
    <t>VHE4</t>
  </si>
  <si>
    <t>VHE5</t>
  </si>
  <si>
    <t>VHE6</t>
  </si>
  <si>
    <t>VHE7</t>
  </si>
  <si>
    <t>VHE8</t>
  </si>
  <si>
    <t>Angostura</t>
  </si>
  <si>
    <t>ANG1</t>
  </si>
  <si>
    <t>ANG2</t>
  </si>
  <si>
    <t>ANG3</t>
  </si>
  <si>
    <t>Botijlaca</t>
  </si>
  <si>
    <t>BOT1</t>
  </si>
  <si>
    <t>BOT2</t>
  </si>
  <si>
    <t>BOT3</t>
  </si>
  <si>
    <t>Cahua</t>
  </si>
  <si>
    <t>CAH1</t>
  </si>
  <si>
    <t>CAH2</t>
  </si>
  <si>
    <t>Carabuco</t>
  </si>
  <si>
    <t>CRB</t>
  </si>
  <si>
    <t>Chojlla</t>
  </si>
  <si>
    <t>1998/2002</t>
  </si>
  <si>
    <t>CHJ1y2</t>
  </si>
  <si>
    <t>CHJ</t>
  </si>
  <si>
    <t>Choquetanga</t>
  </si>
  <si>
    <t>CHO1</t>
  </si>
  <si>
    <t>CHO2</t>
  </si>
  <si>
    <t>CHO3</t>
  </si>
  <si>
    <t>Chururaqui</t>
  </si>
  <si>
    <t>CHU1</t>
  </si>
  <si>
    <t>CHU2</t>
  </si>
  <si>
    <t>Corani</t>
  </si>
  <si>
    <t>COR1234</t>
  </si>
  <si>
    <t>1967/1980</t>
  </si>
  <si>
    <t>Cuticucho</t>
  </si>
  <si>
    <t>CUT1</t>
  </si>
  <si>
    <t>CUT2</t>
  </si>
  <si>
    <t>CUT3</t>
  </si>
  <si>
    <t>CUT4</t>
  </si>
  <si>
    <t>CUT5</t>
  </si>
  <si>
    <t>Harca</t>
  </si>
  <si>
    <t>HAR1</t>
  </si>
  <si>
    <t>HAR2</t>
  </si>
  <si>
    <t>Huaji</t>
  </si>
  <si>
    <t>HUA1</t>
  </si>
  <si>
    <t>HUA2</t>
  </si>
  <si>
    <t>Kanata</t>
  </si>
  <si>
    <t>KAN1</t>
  </si>
  <si>
    <t>Kilpani</t>
  </si>
  <si>
    <t>KIL123</t>
  </si>
  <si>
    <t>1936/1942/2001</t>
  </si>
  <si>
    <t>Landara</t>
  </si>
  <si>
    <t>LAN123</t>
  </si>
  <si>
    <t>Miguilla</t>
  </si>
  <si>
    <t>MIG1</t>
  </si>
  <si>
    <t>MIG2</t>
  </si>
  <si>
    <t>Misicuni</t>
  </si>
  <si>
    <t xml:space="preserve">MIS </t>
  </si>
  <si>
    <t>Punutuma</t>
  </si>
  <si>
    <t>PUN1</t>
  </si>
  <si>
    <t>Quehata</t>
  </si>
  <si>
    <t>QUE01</t>
  </si>
  <si>
    <t>QUE02</t>
  </si>
  <si>
    <t>Sainani</t>
  </si>
  <si>
    <t>SAI1</t>
  </si>
  <si>
    <t>San Jacinto</t>
  </si>
  <si>
    <t>SJA01</t>
  </si>
  <si>
    <t>SJA02</t>
  </si>
  <si>
    <t>Santa Isabel</t>
  </si>
  <si>
    <t>SIS12345</t>
  </si>
  <si>
    <t>1973/1981/1983/2004</t>
  </si>
  <si>
    <t>Santa Rosa</t>
  </si>
  <si>
    <t>SRO1</t>
  </si>
  <si>
    <t>SRO2</t>
  </si>
  <si>
    <t>Tiquimani</t>
  </si>
  <si>
    <t>TIQ1</t>
  </si>
  <si>
    <t>Yanacachi</t>
  </si>
  <si>
    <t xml:space="preserve">YAN </t>
  </si>
  <si>
    <t>Zongo</t>
  </si>
  <si>
    <t>ZON1</t>
  </si>
  <si>
    <r>
      <t xml:space="preserve">Generation </t>
    </r>
    <r>
      <rPr>
        <sz val="10"/>
        <rFont val="Arial"/>
        <family val="2"/>
      </rPr>
      <t>[MWh/y]</t>
    </r>
  </si>
  <si>
    <t>Guabirá</t>
  </si>
  <si>
    <t>GBE1</t>
  </si>
  <si>
    <t>Qollpana</t>
  </si>
  <si>
    <t>QOL Fase I</t>
  </si>
  <si>
    <t>QOL Fase II</t>
  </si>
  <si>
    <t>Adiciones de proyectos (1999 - 2021)</t>
  </si>
  <si>
    <t>Unidad</t>
  </si>
  <si>
    <t>Fecha Puesta en Marcha</t>
  </si>
  <si>
    <t>Capacidad (MW)</t>
  </si>
  <si>
    <t>Tecnologia</t>
  </si>
  <si>
    <t>Proyecto MDL</t>
  </si>
  <si>
    <t>Hydro</t>
  </si>
  <si>
    <t>NO</t>
  </si>
  <si>
    <t xml:space="preserve">Umapalca </t>
  </si>
  <si>
    <t>Eolico</t>
  </si>
  <si>
    <t>Planta Piloto Goetermica</t>
  </si>
  <si>
    <t>Geotermico</t>
  </si>
  <si>
    <t>CCSUR10</t>
  </si>
  <si>
    <t>Thermal</t>
  </si>
  <si>
    <t>CCWAR20</t>
  </si>
  <si>
    <t>CCERI50</t>
  </si>
  <si>
    <t>CCSUR20</t>
  </si>
  <si>
    <t>CCWAR10</t>
  </si>
  <si>
    <t>CCERI40</t>
  </si>
  <si>
    <t>CCERI30</t>
  </si>
  <si>
    <t>CCWAR40</t>
  </si>
  <si>
    <t>CCWAR30</t>
  </si>
  <si>
    <t>AGU01</t>
  </si>
  <si>
    <t>CCSUR40</t>
  </si>
  <si>
    <t>CCSUR30</t>
  </si>
  <si>
    <t>San José 2</t>
  </si>
  <si>
    <t>San Julian</t>
  </si>
  <si>
    <t>Yunchara</t>
  </si>
  <si>
    <t>Solar</t>
  </si>
  <si>
    <t>Hidro</t>
  </si>
  <si>
    <t>QOLLPANA II</t>
  </si>
  <si>
    <t>Termico</t>
  </si>
  <si>
    <t>QOLLPANA I</t>
  </si>
  <si>
    <t>ALT 1</t>
  </si>
  <si>
    <t>Ciclo Comb. (GCH 12)</t>
  </si>
  <si>
    <t>SI</t>
  </si>
  <si>
    <t>VHE 5,6,7,8</t>
  </si>
  <si>
    <t>Car 03</t>
  </si>
  <si>
    <t>Moxos</t>
  </si>
  <si>
    <t>Arj 13-14-15</t>
  </si>
  <si>
    <t>QUEHATA</t>
  </si>
  <si>
    <t>Guabira Energia (GE)</t>
  </si>
  <si>
    <t>GCH 11</t>
  </si>
  <si>
    <t>Arj 9-10-11-12</t>
  </si>
  <si>
    <t xml:space="preserve">Santa Isabel SIS5 </t>
  </si>
  <si>
    <t xml:space="preserve">Landara LAN1and3 </t>
  </si>
  <si>
    <t xml:space="preserve">Kilpani  KIL3 </t>
  </si>
  <si>
    <t>CECBB1 &amp; 2</t>
  </si>
  <si>
    <t>Oruro II</t>
  </si>
  <si>
    <t>GENERACION (MWh)</t>
  </si>
  <si>
    <t>CENTRALES HIDROELECTRICAS</t>
  </si>
  <si>
    <t>CORANI</t>
  </si>
  <si>
    <t>SANTA ISABEL</t>
  </si>
  <si>
    <t>ZONGO</t>
  </si>
  <si>
    <t>TIQUIMANI</t>
  </si>
  <si>
    <t>BOTIJLACA</t>
  </si>
  <si>
    <t>CUTICUCHO</t>
  </si>
  <si>
    <t>SANTA ROSA</t>
  </si>
  <si>
    <t>SAINANI</t>
  </si>
  <si>
    <t>CHURURAQUI</t>
  </si>
  <si>
    <t>HARCA</t>
  </si>
  <si>
    <t>CAHUA</t>
  </si>
  <si>
    <t>HUAJI</t>
  </si>
  <si>
    <t>MIGUILLA</t>
  </si>
  <si>
    <t>ANGOSTURA</t>
  </si>
  <si>
    <t>CHOQUETANGA</t>
  </si>
  <si>
    <t>CARABUCO</t>
  </si>
  <si>
    <t>CHOJLLA Antigua</t>
  </si>
  <si>
    <t>CHOJLLA</t>
  </si>
  <si>
    <t>YANACACHI</t>
  </si>
  <si>
    <t>YAN</t>
  </si>
  <si>
    <t>KANATA</t>
  </si>
  <si>
    <t>KILPANI</t>
  </si>
  <si>
    <t>LANDARA</t>
  </si>
  <si>
    <t>PUNUTUMA</t>
  </si>
  <si>
    <t>SAN JACINTO</t>
  </si>
  <si>
    <t>MISICUNI</t>
  </si>
  <si>
    <t>MIS</t>
  </si>
  <si>
    <t>PARQUES EÓLICOS</t>
  </si>
  <si>
    <t>QOLLPANA</t>
  </si>
  <si>
    <t>PLANTAS SOLARES</t>
  </si>
  <si>
    <t>YUNCHARA</t>
  </si>
  <si>
    <t>YUN</t>
  </si>
  <si>
    <t>CENTRALES TERMOELECTRICAS</t>
  </si>
  <si>
    <t>GUARACACHI</t>
  </si>
  <si>
    <t>SANTA CRUZ</t>
  </si>
  <si>
    <t>EASBA</t>
  </si>
  <si>
    <t>ARANJUEZ</t>
  </si>
  <si>
    <t>ARJ01</t>
  </si>
  <si>
    <t>ARJ02</t>
  </si>
  <si>
    <t>ARJ03</t>
  </si>
  <si>
    <t>KARACHIPAMPA</t>
  </si>
  <si>
    <t>KENKO</t>
  </si>
  <si>
    <t>VALLE HERMOSO</t>
  </si>
  <si>
    <t>VHE12345678</t>
  </si>
  <si>
    <t>CARRASCO</t>
  </si>
  <si>
    <t>CAR123</t>
  </si>
  <si>
    <t>C.EL ALTO</t>
  </si>
  <si>
    <t>BULO BULO</t>
  </si>
  <si>
    <t>GUABIRA</t>
  </si>
  <si>
    <t>GBE</t>
  </si>
  <si>
    <t>IAG</t>
  </si>
  <si>
    <t>ENTRE RIOS</t>
  </si>
  <si>
    <t>DEL SUR</t>
  </si>
  <si>
    <t>WARNES</t>
  </si>
  <si>
    <t>ENDE GEN.</t>
  </si>
  <si>
    <t>MOX</t>
  </si>
  <si>
    <t>Total Generación bruta</t>
  </si>
  <si>
    <t>Unidades MDL</t>
  </si>
  <si>
    <t>Total Unidades MDL</t>
  </si>
  <si>
    <t xml:space="preserve">Unidades LCMR </t>
  </si>
  <si>
    <t>Hidroelectricas</t>
  </si>
  <si>
    <t>Eolicas</t>
  </si>
  <si>
    <t>Solares</t>
  </si>
  <si>
    <t>Total Unidades LCMR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</si>
</sst>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0.0%"/>
    <numFmt numFmtId="165" formatCode="0.0"/>
    <numFmt numFmtId="166" formatCode="0.0000"/>
    <numFmt numFmtId="167" formatCode="0.000"/>
    <numFmt numFmtId="168" formatCode="_(* #,##0.00_);_(* \(#,##0.00\);_(* &quot;-&quot;??_);_(@_)"/>
    <numFmt numFmtId="169" formatCode="_(* #,##0_);_(* \(#,##0\);_(* &quot;-&quot;??_);_(@_)"/>
    <numFmt numFmtId="170" formatCode="mm/yyyy"/>
    <numFmt numFmtId="171" formatCode="_(* #,##0_);_(* \(#,##0\);_(* &quot;-&quot;_);_(@_)"/>
    <numFmt numFmtId="172" formatCode="0.000000000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color rgb="FF9966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name val="ARIAL NARROW"/>
      <family val="2"/>
    </font>
    <font>
      <b/>
      <sz val="10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1">
    <xf numFmtId="0" fontId="0" fillId="0" borderId="0" xfId="0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2" applyFont="1" applyBorder="1" applyAlignment="1">
      <alignment horizontal="right"/>
    </xf>
    <xf numFmtId="0" fontId="5" fillId="0" borderId="0" xfId="2" applyFont="1" applyBorder="1" applyAlignment="1">
      <alignment horizontal="right"/>
    </xf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4" fillId="3" borderId="10" xfId="0" applyFont="1" applyFill="1" applyBorder="1"/>
    <xf numFmtId="0" fontId="4" fillId="3" borderId="1" xfId="0" applyFont="1" applyFill="1" applyBorder="1"/>
    <xf numFmtId="0" fontId="17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6" xfId="0" applyFont="1" applyFill="1" applyBorder="1"/>
    <xf numFmtId="0" fontId="4" fillId="2" borderId="4" xfId="0" applyFont="1" applyFill="1" applyBorder="1"/>
    <xf numFmtId="0" fontId="4" fillId="2" borderId="12" xfId="0" applyFont="1" applyFill="1" applyBorder="1"/>
    <xf numFmtId="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9" fontId="17" fillId="2" borderId="8" xfId="0" applyNumberFormat="1" applyFont="1" applyFill="1" applyBorder="1" applyAlignment="1">
      <alignment horizontal="center" vertical="center" wrapText="1"/>
    </xf>
    <xf numFmtId="9" fontId="17" fillId="2" borderId="0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>
      <alignment horizontal="center" vertical="center"/>
    </xf>
    <xf numFmtId="9" fontId="13" fillId="2" borderId="9" xfId="1" applyFont="1" applyFill="1" applyBorder="1" applyAlignment="1">
      <alignment horizontal="center"/>
    </xf>
    <xf numFmtId="9" fontId="13" fillId="2" borderId="8" xfId="1" applyFont="1" applyFill="1" applyBorder="1" applyAlignment="1">
      <alignment horizontal="center"/>
    </xf>
    <xf numFmtId="2" fontId="19" fillId="2" borderId="0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center"/>
    </xf>
    <xf numFmtId="0" fontId="4" fillId="2" borderId="9" xfId="0" applyFont="1" applyFill="1" applyBorder="1"/>
    <xf numFmtId="0" fontId="4" fillId="2" borderId="13" xfId="0" applyFont="1" applyFill="1" applyBorder="1"/>
    <xf numFmtId="0" fontId="4" fillId="2" borderId="0" xfId="0" applyFont="1" applyFill="1" applyAlignment="1">
      <alignment horizontal="center"/>
    </xf>
    <xf numFmtId="2" fontId="4" fillId="0" borderId="0" xfId="0" applyNumberFormat="1" applyFont="1" applyFill="1"/>
    <xf numFmtId="1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9" fontId="17" fillId="2" borderId="10" xfId="0" applyNumberFormat="1" applyFont="1" applyFill="1" applyBorder="1" applyAlignment="1">
      <alignment horizontal="center" vertical="center" wrapText="1"/>
    </xf>
    <xf numFmtId="9" fontId="17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9" fontId="13" fillId="2" borderId="11" xfId="1" applyFont="1" applyFill="1" applyBorder="1" applyAlignment="1">
      <alignment horizontal="center"/>
    </xf>
    <xf numFmtId="9" fontId="13" fillId="2" borderId="10" xfId="1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 vertical="center"/>
    </xf>
    <xf numFmtId="2" fontId="13" fillId="2" borderId="14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1" fontId="21" fillId="0" borderId="0" xfId="0" quotePrefix="1" applyNumberFormat="1" applyFont="1" applyFill="1" applyAlignment="1">
      <alignment horizontal="left"/>
    </xf>
    <xf numFmtId="0" fontId="2" fillId="0" borderId="0" xfId="3"/>
    <xf numFmtId="0" fontId="2" fillId="0" borderId="0" xfId="3" applyAlignment="1">
      <alignment horizontal="center"/>
    </xf>
    <xf numFmtId="0" fontId="3" fillId="3" borderId="24" xfId="3" applyFont="1" applyFill="1" applyBorder="1" applyAlignment="1">
      <alignment horizontal="center" vertical="center"/>
    </xf>
    <xf numFmtId="0" fontId="3" fillId="3" borderId="5" xfId="3" applyFont="1" applyFill="1" applyBorder="1" applyAlignment="1">
      <alignment horizontal="center" vertical="center" wrapText="1"/>
    </xf>
    <xf numFmtId="0" fontId="3" fillId="3" borderId="25" xfId="3" applyFont="1" applyFill="1" applyBorder="1" applyAlignment="1">
      <alignment horizontal="center" vertical="center" wrapText="1"/>
    </xf>
    <xf numFmtId="0" fontId="2" fillId="0" borderId="8" xfId="3" applyFont="1" applyFill="1" applyBorder="1"/>
    <xf numFmtId="170" fontId="2" fillId="0" borderId="0" xfId="3" applyNumberFormat="1" applyFont="1" applyFill="1" applyBorder="1" applyAlignment="1">
      <alignment horizontal="center"/>
    </xf>
    <xf numFmtId="43" fontId="2" fillId="0" borderId="0" xfId="5" applyFont="1" applyFill="1" applyBorder="1" applyAlignment="1">
      <alignment horizontal="center"/>
    </xf>
    <xf numFmtId="0" fontId="2" fillId="0" borderId="0" xfId="3" applyFont="1" applyFill="1" applyBorder="1"/>
    <xf numFmtId="0" fontId="2" fillId="0" borderId="13" xfId="3" applyFont="1" applyFill="1" applyBorder="1" applyAlignment="1">
      <alignment horizontal="center"/>
    </xf>
    <xf numFmtId="1" fontId="2" fillId="0" borderId="8" xfId="3" applyNumberFormat="1" applyFont="1" applyFill="1" applyBorder="1"/>
    <xf numFmtId="0" fontId="2" fillId="0" borderId="10" xfId="3" applyFont="1" applyFill="1" applyBorder="1"/>
    <xf numFmtId="170" fontId="2" fillId="0" borderId="1" xfId="3" applyNumberFormat="1" applyFont="1" applyFill="1" applyBorder="1" applyAlignment="1">
      <alignment horizontal="center"/>
    </xf>
    <xf numFmtId="43" fontId="2" fillId="0" borderId="1" xfId="5" applyFont="1" applyFill="1" applyBorder="1" applyAlignment="1">
      <alignment horizontal="center"/>
    </xf>
    <xf numFmtId="0" fontId="2" fillId="0" borderId="1" xfId="3" applyFont="1" applyFill="1" applyBorder="1"/>
    <xf numFmtId="0" fontId="2" fillId="2" borderId="13" xfId="3" applyFont="1" applyFill="1" applyBorder="1" applyAlignment="1">
      <alignment horizontal="center"/>
    </xf>
    <xf numFmtId="0" fontId="2" fillId="2" borderId="8" xfId="3" applyFont="1" applyFill="1" applyBorder="1"/>
    <xf numFmtId="170" fontId="2" fillId="2" borderId="0" xfId="3" applyNumberFormat="1" applyFont="1" applyFill="1" applyBorder="1" applyAlignment="1">
      <alignment horizontal="center"/>
    </xf>
    <xf numFmtId="43" fontId="2" fillId="2" borderId="0" xfId="5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1" fontId="2" fillId="2" borderId="8" xfId="3" applyNumberFormat="1" applyFont="1" applyFill="1" applyBorder="1"/>
    <xf numFmtId="0" fontId="3" fillId="3" borderId="24" xfId="3" applyFont="1" applyFill="1" applyBorder="1"/>
    <xf numFmtId="170" fontId="3" fillId="3" borderId="5" xfId="3" applyNumberFormat="1" applyFont="1" applyFill="1" applyBorder="1" applyAlignment="1">
      <alignment horizontal="center"/>
    </xf>
    <xf numFmtId="43" fontId="3" fillId="3" borderId="5" xfId="5" applyFont="1" applyFill="1" applyBorder="1" applyAlignment="1">
      <alignment horizontal="center"/>
    </xf>
    <xf numFmtId="0" fontId="3" fillId="3" borderId="5" xfId="3" applyFont="1" applyFill="1" applyBorder="1" applyAlignment="1">
      <alignment horizontal="center"/>
    </xf>
    <xf numFmtId="0" fontId="3" fillId="3" borderId="25" xfId="3" applyFont="1" applyFill="1" applyBorder="1" applyAlignment="1">
      <alignment horizontal="center"/>
    </xf>
    <xf numFmtId="0" fontId="3" fillId="3" borderId="4" xfId="3" applyFont="1" applyFill="1" applyBorder="1"/>
    <xf numFmtId="170" fontId="3" fillId="3" borderId="2" xfId="3" applyNumberFormat="1" applyFont="1" applyFill="1" applyBorder="1" applyAlignment="1">
      <alignment horizontal="center"/>
    </xf>
    <xf numFmtId="43" fontId="3" fillId="3" borderId="2" xfId="5" applyFont="1" applyFill="1" applyBorder="1" applyAlignment="1">
      <alignment horizontal="center"/>
    </xf>
    <xf numFmtId="0" fontId="3" fillId="3" borderId="2" xfId="3" applyFont="1" applyFill="1" applyBorder="1" applyAlignment="1">
      <alignment horizontal="center"/>
    </xf>
    <xf numFmtId="0" fontId="3" fillId="3" borderId="12" xfId="3" applyFont="1" applyFill="1" applyBorder="1" applyAlignment="1">
      <alignment horizontal="center"/>
    </xf>
    <xf numFmtId="0" fontId="3" fillId="3" borderId="10" xfId="3" applyFont="1" applyFill="1" applyBorder="1"/>
    <xf numFmtId="170" fontId="3" fillId="3" borderId="1" xfId="3" applyNumberFormat="1" applyFont="1" applyFill="1" applyBorder="1" applyAlignment="1">
      <alignment horizontal="center"/>
    </xf>
    <xf numFmtId="43" fontId="3" fillId="3" borderId="1" xfId="5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4" xfId="3" applyFont="1" applyFill="1" applyBorder="1" applyAlignment="1">
      <alignment horizontal="center"/>
    </xf>
    <xf numFmtId="0" fontId="2" fillId="2" borderId="10" xfId="3" applyFont="1" applyFill="1" applyBorder="1"/>
    <xf numFmtId="170" fontId="2" fillId="2" borderId="1" xfId="3" applyNumberFormat="1" applyFont="1" applyFill="1" applyBorder="1" applyAlignment="1">
      <alignment horizontal="center"/>
    </xf>
    <xf numFmtId="43" fontId="2" fillId="2" borderId="1" xfId="5" applyFont="1" applyFill="1" applyBorder="1" applyAlignment="1">
      <alignment horizontal="center"/>
    </xf>
    <xf numFmtId="0" fontId="2" fillId="2" borderId="1" xfId="3" applyFont="1" applyFill="1" applyBorder="1" applyAlignment="1">
      <alignment horizontal="center"/>
    </xf>
    <xf numFmtId="0" fontId="2" fillId="2" borderId="14" xfId="3" applyFont="1" applyFill="1" applyBorder="1" applyAlignment="1">
      <alignment horizontal="center"/>
    </xf>
    <xf numFmtId="0" fontId="25" fillId="0" borderId="0" xfId="6" applyFont="1" applyFill="1" applyAlignment="1">
      <alignment horizontal="left"/>
    </xf>
    <xf numFmtId="0" fontId="11" fillId="0" borderId="0" xfId="6" applyFont="1" applyFill="1"/>
    <xf numFmtId="0" fontId="26" fillId="0" borderId="0" xfId="6" applyFont="1" applyFill="1" applyAlignment="1">
      <alignment horizontal="left"/>
    </xf>
    <xf numFmtId="0" fontId="11" fillId="0" borderId="0" xfId="6" applyNumberFormat="1" applyFont="1" applyFill="1"/>
    <xf numFmtId="0" fontId="11" fillId="0" borderId="0" xfId="6" applyFont="1" applyFill="1" applyAlignment="1">
      <alignment horizontal="center"/>
    </xf>
    <xf numFmtId="0" fontId="13" fillId="11" borderId="2" xfId="7" applyFont="1" applyFill="1" applyBorder="1"/>
    <xf numFmtId="0" fontId="17" fillId="11" borderId="2" xfId="7" applyFont="1" applyFill="1" applyBorder="1" applyAlignment="1">
      <alignment horizontal="right"/>
    </xf>
    <xf numFmtId="0" fontId="17" fillId="3" borderId="24" xfId="6" applyFont="1" applyFill="1" applyBorder="1" applyAlignment="1">
      <alignment horizontal="left"/>
    </xf>
    <xf numFmtId="0" fontId="13" fillId="3" borderId="5" xfId="6" applyFont="1" applyFill="1" applyBorder="1"/>
    <xf numFmtId="0" fontId="13" fillId="3" borderId="25" xfId="6" applyFont="1" applyFill="1" applyBorder="1"/>
    <xf numFmtId="0" fontId="13" fillId="8" borderId="0" xfId="6" applyFont="1" applyFill="1" applyAlignment="1">
      <alignment horizontal="left"/>
    </xf>
    <xf numFmtId="0" fontId="13" fillId="8" borderId="0" xfId="6" applyFont="1" applyFill="1"/>
    <xf numFmtId="171" fontId="13" fillId="8" borderId="0" xfId="6" applyNumberFormat="1" applyFont="1" applyFill="1"/>
    <xf numFmtId="171" fontId="17" fillId="8" borderId="0" xfId="6" applyNumberFormat="1" applyFont="1" applyFill="1"/>
    <xf numFmtId="171" fontId="11" fillId="0" borderId="0" xfId="6" applyNumberFormat="1" applyFont="1" applyFill="1"/>
    <xf numFmtId="171" fontId="13" fillId="3" borderId="5" xfId="6" applyNumberFormat="1" applyFont="1" applyFill="1" applyBorder="1"/>
    <xf numFmtId="171" fontId="17" fillId="3" borderId="25" xfId="6" applyNumberFormat="1" applyFont="1" applyFill="1" applyBorder="1"/>
    <xf numFmtId="0" fontId="13" fillId="10" borderId="0" xfId="6" applyFont="1" applyFill="1" applyAlignment="1">
      <alignment horizontal="left"/>
    </xf>
    <xf numFmtId="0" fontId="13" fillId="10" borderId="0" xfId="6" applyFont="1" applyFill="1"/>
    <xf numFmtId="171" fontId="13" fillId="10" borderId="0" xfId="6" applyNumberFormat="1" applyFont="1" applyFill="1"/>
    <xf numFmtId="171" fontId="17" fillId="10" borderId="0" xfId="6" applyNumberFormat="1" applyFont="1" applyFill="1"/>
    <xf numFmtId="0" fontId="13" fillId="12" borderId="0" xfId="6" applyFont="1" applyFill="1" applyAlignment="1">
      <alignment horizontal="left"/>
    </xf>
    <xf numFmtId="0" fontId="13" fillId="12" borderId="0" xfId="6" applyFont="1" applyFill="1"/>
    <xf numFmtId="171" fontId="13" fillId="12" borderId="0" xfId="6" applyNumberFormat="1" applyFont="1" applyFill="1"/>
    <xf numFmtId="171" fontId="17" fillId="12" borderId="0" xfId="6" applyNumberFormat="1" applyFont="1" applyFill="1"/>
    <xf numFmtId="0" fontId="17" fillId="3" borderId="5" xfId="6" applyFont="1" applyFill="1" applyBorder="1"/>
    <xf numFmtId="171" fontId="17" fillId="3" borderId="5" xfId="6" applyNumberFormat="1" applyFont="1" applyFill="1" applyBorder="1"/>
    <xf numFmtId="172" fontId="11" fillId="0" borderId="0" xfId="6" applyNumberFormat="1" applyFont="1" applyFill="1"/>
    <xf numFmtId="0" fontId="17" fillId="0" borderId="0" xfId="6" applyFont="1" applyFill="1" applyAlignment="1">
      <alignment horizontal="left"/>
    </xf>
    <xf numFmtId="0" fontId="17" fillId="0" borderId="0" xfId="6" applyFont="1" applyFill="1"/>
    <xf numFmtId="171" fontId="17" fillId="0" borderId="0" xfId="6" applyNumberFormat="1" applyFont="1" applyFill="1"/>
    <xf numFmtId="0" fontId="13" fillId="0" borderId="4" xfId="6" applyFont="1" applyFill="1" applyBorder="1" applyAlignment="1">
      <alignment horizontal="left"/>
    </xf>
    <xf numFmtId="0" fontId="13" fillId="0" borderId="2" xfId="6" applyFont="1" applyFill="1" applyBorder="1" applyAlignment="1">
      <alignment horizontal="left"/>
    </xf>
    <xf numFmtId="171" fontId="13" fillId="0" borderId="2" xfId="6" applyNumberFormat="1" applyFont="1" applyFill="1" applyBorder="1"/>
    <xf numFmtId="171" fontId="13" fillId="0" borderId="12" xfId="6" applyNumberFormat="1" applyFont="1" applyFill="1" applyBorder="1"/>
    <xf numFmtId="0" fontId="13" fillId="0" borderId="8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/>
    </xf>
    <xf numFmtId="171" fontId="13" fillId="0" borderId="0" xfId="6" applyNumberFormat="1" applyFont="1" applyFill="1" applyBorder="1"/>
    <xf numFmtId="171" fontId="13" fillId="0" borderId="13" xfId="6" applyNumberFormat="1" applyFont="1" applyFill="1" applyBorder="1"/>
    <xf numFmtId="0" fontId="13" fillId="0" borderId="10" xfId="6" applyFont="1" applyFill="1" applyBorder="1" applyAlignment="1">
      <alignment horizontal="left"/>
    </xf>
    <xf numFmtId="0" fontId="13" fillId="0" borderId="1" xfId="6" applyFont="1" applyFill="1" applyBorder="1" applyAlignment="1">
      <alignment horizontal="left"/>
    </xf>
    <xf numFmtId="171" fontId="13" fillId="0" borderId="1" xfId="6" applyNumberFormat="1" applyFont="1" applyFill="1" applyBorder="1"/>
    <xf numFmtId="171" fontId="13" fillId="0" borderId="14" xfId="6" applyNumberFormat="1" applyFont="1" applyFill="1" applyBorder="1"/>
    <xf numFmtId="0" fontId="17" fillId="0" borderId="24" xfId="6" applyFont="1" applyFill="1" applyBorder="1" applyAlignment="1">
      <alignment horizontal="left"/>
    </xf>
    <xf numFmtId="0" fontId="17" fillId="0" borderId="5" xfId="6" applyFont="1" applyFill="1" applyBorder="1" applyAlignment="1">
      <alignment horizontal="left"/>
    </xf>
    <xf numFmtId="171" fontId="17" fillId="0" borderId="5" xfId="6" applyNumberFormat="1" applyFont="1" applyFill="1" applyBorder="1"/>
    <xf numFmtId="171" fontId="17" fillId="0" borderId="25" xfId="6" applyNumberFormat="1" applyFont="1" applyFill="1" applyBorder="1"/>
    <xf numFmtId="0" fontId="27" fillId="0" borderId="0" xfId="6" applyFont="1" applyFill="1" applyAlignment="1">
      <alignment horizontal="left"/>
    </xf>
    <xf numFmtId="0" fontId="28" fillId="0" borderId="0" xfId="6" applyFont="1" applyFill="1" applyAlignment="1">
      <alignment horizontal="left"/>
    </xf>
    <xf numFmtId="167" fontId="11" fillId="0" borderId="0" xfId="6" applyNumberFormat="1" applyFont="1" applyFill="1"/>
    <xf numFmtId="0" fontId="11" fillId="0" borderId="4" xfId="6" applyFont="1" applyFill="1" applyBorder="1" applyAlignment="1">
      <alignment horizontal="center"/>
    </xf>
    <xf numFmtId="0" fontId="11" fillId="0" borderId="2" xfId="6" applyFont="1" applyFill="1" applyBorder="1"/>
    <xf numFmtId="0" fontId="11" fillId="0" borderId="12" xfId="6" applyFont="1" applyFill="1" applyBorder="1"/>
    <xf numFmtId="0" fontId="11" fillId="0" borderId="8" xfId="6" applyFont="1" applyFill="1" applyBorder="1" applyAlignment="1">
      <alignment horizontal="center"/>
    </xf>
    <xf numFmtId="0" fontId="11" fillId="0" borderId="0" xfId="6" applyFont="1" applyFill="1" applyBorder="1"/>
    <xf numFmtId="171" fontId="11" fillId="0" borderId="0" xfId="6" applyNumberFormat="1" applyFont="1" applyFill="1" applyBorder="1"/>
    <xf numFmtId="171" fontId="11" fillId="0" borderId="13" xfId="6" applyNumberFormat="1" applyFont="1" applyFill="1" applyBorder="1"/>
    <xf numFmtId="0" fontId="11" fillId="0" borderId="10" xfId="6" applyFont="1" applyFill="1" applyBorder="1" applyAlignment="1">
      <alignment horizontal="center"/>
    </xf>
    <xf numFmtId="0" fontId="11" fillId="0" borderId="1" xfId="6" applyFont="1" applyFill="1" applyBorder="1"/>
    <xf numFmtId="171" fontId="11" fillId="0" borderId="1" xfId="6" applyNumberFormat="1" applyFont="1" applyFill="1" applyBorder="1"/>
    <xf numFmtId="171" fontId="11" fillId="0" borderId="14" xfId="6" applyNumberFormat="1" applyFont="1" applyFill="1" applyBorder="1"/>
    <xf numFmtId="0" fontId="9" fillId="0" borderId="24" xfId="6" applyFont="1" applyFill="1" applyBorder="1" applyAlignment="1">
      <alignment horizontal="center"/>
    </xf>
    <xf numFmtId="0" fontId="9" fillId="0" borderId="5" xfId="6" applyFont="1" applyFill="1" applyBorder="1"/>
    <xf numFmtId="171" fontId="9" fillId="0" borderId="5" xfId="6" applyNumberFormat="1" applyFont="1" applyFill="1" applyBorder="1"/>
    <xf numFmtId="171" fontId="9" fillId="0" borderId="25" xfId="6" applyNumberFormat="1" applyFont="1" applyFill="1" applyBorder="1"/>
    <xf numFmtId="0" fontId="24" fillId="2" borderId="24" xfId="3" applyFont="1" applyFill="1" applyBorder="1" applyAlignment="1">
      <alignment horizontal="center"/>
    </xf>
    <xf numFmtId="0" fontId="24" fillId="2" borderId="5" xfId="3" applyFont="1" applyFill="1" applyBorder="1" applyAlignment="1">
      <alignment horizontal="center"/>
    </xf>
    <xf numFmtId="0" fontId="24" fillId="2" borderId="25" xfId="3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14" fillId="3" borderId="9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22" fillId="2" borderId="0" xfId="8" applyFont="1" applyFill="1"/>
    <xf numFmtId="0" fontId="1" fillId="2" borderId="0" xfId="8" applyFill="1"/>
    <xf numFmtId="0" fontId="3" fillId="2" borderId="0" xfId="8" applyFont="1" applyFill="1" applyBorder="1" applyAlignment="1">
      <alignment wrapText="1"/>
    </xf>
    <xf numFmtId="0" fontId="3" fillId="2" borderId="15" xfId="8" applyFont="1" applyFill="1" applyBorder="1" applyAlignment="1">
      <alignment wrapText="1"/>
    </xf>
    <xf numFmtId="0" fontId="3" fillId="4" borderId="16" xfId="8" applyFont="1" applyFill="1" applyBorder="1" applyAlignment="1"/>
    <xf numFmtId="0" fontId="3" fillId="4" borderId="16" xfId="8" applyFont="1" applyFill="1" applyBorder="1" applyAlignment="1">
      <alignment wrapText="1"/>
    </xf>
    <xf numFmtId="0" fontId="3" fillId="4" borderId="17" xfId="8" applyFont="1" applyFill="1" applyBorder="1" applyAlignment="1">
      <alignment wrapText="1"/>
    </xf>
    <xf numFmtId="0" fontId="3" fillId="2" borderId="0" xfId="8" applyFont="1" applyFill="1" applyBorder="1" applyAlignment="1">
      <alignment horizontal="left" indent="1"/>
    </xf>
    <xf numFmtId="0" fontId="3" fillId="5" borderId="16" xfId="8" applyFont="1" applyFill="1" applyBorder="1" applyAlignment="1">
      <alignment horizontal="left" indent="1"/>
    </xf>
    <xf numFmtId="0" fontId="3" fillId="5" borderId="16" xfId="8" applyFont="1" applyFill="1" applyBorder="1" applyAlignment="1">
      <alignment wrapText="1"/>
    </xf>
    <xf numFmtId="169" fontId="3" fillId="5" borderId="17" xfId="9" applyNumberFormat="1" applyFont="1" applyFill="1" applyBorder="1" applyAlignment="1">
      <alignment wrapText="1"/>
    </xf>
    <xf numFmtId="0" fontId="1" fillId="2" borderId="0" xfId="8" applyFont="1" applyFill="1"/>
    <xf numFmtId="169" fontId="1" fillId="2" borderId="0" xfId="8" applyNumberFormat="1" applyFont="1" applyFill="1"/>
    <xf numFmtId="0" fontId="1" fillId="2" borderId="0" xfId="8" applyFill="1" applyBorder="1" applyAlignment="1">
      <alignment horizontal="left" indent="1"/>
    </xf>
    <xf numFmtId="0" fontId="1" fillId="2" borderId="15" xfId="8" applyFont="1" applyFill="1" applyBorder="1" applyAlignment="1">
      <alignment wrapText="1"/>
    </xf>
    <xf numFmtId="0" fontId="1" fillId="5" borderId="16" xfId="8" applyFill="1" applyBorder="1" applyAlignment="1">
      <alignment horizontal="left" indent="1"/>
    </xf>
    <xf numFmtId="0" fontId="1" fillId="5" borderId="16" xfId="8" applyFont="1" applyFill="1" applyBorder="1" applyAlignment="1">
      <alignment wrapText="1"/>
    </xf>
    <xf numFmtId="169" fontId="1" fillId="5" borderId="17" xfId="9" applyNumberFormat="1" applyFont="1" applyFill="1" applyBorder="1" applyAlignment="1">
      <alignment wrapText="1"/>
    </xf>
    <xf numFmtId="0" fontId="3" fillId="6" borderId="16" xfId="8" applyFont="1" applyFill="1" applyBorder="1" applyAlignment="1">
      <alignment horizontal="left" indent="1"/>
    </xf>
    <xf numFmtId="0" fontId="3" fillId="6" borderId="16" xfId="8" applyFont="1" applyFill="1" applyBorder="1" applyAlignment="1">
      <alignment wrapText="1"/>
    </xf>
    <xf numFmtId="169" fontId="3" fillId="6" borderId="17" xfId="9" applyNumberFormat="1" applyFont="1" applyFill="1" applyBorder="1" applyAlignment="1">
      <alignment wrapText="1"/>
    </xf>
    <xf numFmtId="9" fontId="3" fillId="6" borderId="17" xfId="10" applyFont="1" applyFill="1" applyBorder="1" applyAlignment="1">
      <alignment wrapText="1"/>
    </xf>
    <xf numFmtId="0" fontId="1" fillId="6" borderId="16" xfId="8" applyFont="1" applyFill="1" applyBorder="1" applyAlignment="1">
      <alignment wrapText="1"/>
    </xf>
    <xf numFmtId="0" fontId="3" fillId="6" borderId="17" xfId="8" applyFont="1" applyFill="1" applyBorder="1" applyAlignment="1">
      <alignment wrapText="1"/>
    </xf>
    <xf numFmtId="9" fontId="1" fillId="2" borderId="0" xfId="8" applyNumberFormat="1" applyFill="1"/>
    <xf numFmtId="0" fontId="1" fillId="2" borderId="0" xfId="8" applyFill="1" applyBorder="1" applyAlignment="1">
      <alignment horizontal="left" indent="2"/>
    </xf>
    <xf numFmtId="0" fontId="1" fillId="5" borderId="16" xfId="8" applyFill="1" applyBorder="1" applyAlignment="1">
      <alignment horizontal="left" indent="2"/>
    </xf>
    <xf numFmtId="0" fontId="1" fillId="5" borderId="18" xfId="8" applyFont="1" applyFill="1" applyBorder="1" applyAlignment="1">
      <alignment wrapText="1"/>
    </xf>
    <xf numFmtId="0" fontId="3" fillId="5" borderId="17" xfId="8" applyFont="1" applyFill="1" applyBorder="1" applyAlignment="1">
      <alignment wrapText="1"/>
    </xf>
    <xf numFmtId="9" fontId="0" fillId="5" borderId="17" xfId="10" applyFont="1" applyFill="1" applyBorder="1" applyAlignment="1">
      <alignment wrapText="1"/>
    </xf>
    <xf numFmtId="169" fontId="1" fillId="5" borderId="17" xfId="8" applyNumberFormat="1" applyFont="1" applyFill="1" applyBorder="1" applyAlignment="1">
      <alignment wrapText="1"/>
    </xf>
    <xf numFmtId="9" fontId="0" fillId="2" borderId="15" xfId="10" applyFont="1" applyFill="1" applyBorder="1" applyAlignment="1">
      <alignment wrapText="1"/>
    </xf>
    <xf numFmtId="9" fontId="0" fillId="5" borderId="16" xfId="10" applyFont="1" applyFill="1" applyBorder="1" applyAlignment="1">
      <alignment wrapText="1"/>
    </xf>
    <xf numFmtId="9" fontId="0" fillId="5" borderId="18" xfId="10" applyFont="1" applyFill="1" applyBorder="1" applyAlignment="1">
      <alignment wrapText="1"/>
    </xf>
    <xf numFmtId="169" fontId="3" fillId="5" borderId="17" xfId="8" applyNumberFormat="1" applyFont="1" applyFill="1" applyBorder="1" applyAlignment="1">
      <alignment wrapText="1"/>
    </xf>
    <xf numFmtId="9" fontId="1" fillId="5" borderId="17" xfId="10" applyFont="1" applyFill="1" applyBorder="1" applyAlignment="1">
      <alignment wrapText="1"/>
    </xf>
    <xf numFmtId="0" fontId="3" fillId="4" borderId="18" xfId="8" applyFont="1" applyFill="1" applyBorder="1" applyAlignment="1"/>
    <xf numFmtId="0" fontId="3" fillId="4" borderId="19" xfId="8" applyFont="1" applyFill="1" applyBorder="1" applyAlignment="1">
      <alignment wrapText="1"/>
    </xf>
    <xf numFmtId="0" fontId="3" fillId="4" borderId="18" xfId="8" applyFont="1" applyFill="1" applyBorder="1" applyAlignment="1">
      <alignment wrapText="1"/>
    </xf>
    <xf numFmtId="0" fontId="3" fillId="5" borderId="18" xfId="8" applyFont="1" applyFill="1" applyBorder="1" applyAlignment="1">
      <alignment horizontal="left"/>
    </xf>
    <xf numFmtId="0" fontId="3" fillId="5" borderId="19" xfId="8" applyFont="1" applyFill="1" applyBorder="1" applyAlignment="1">
      <alignment wrapText="1"/>
    </xf>
    <xf numFmtId="0" fontId="3" fillId="5" borderId="18" xfId="8" applyFont="1" applyFill="1" applyBorder="1" applyAlignment="1">
      <alignment wrapText="1"/>
    </xf>
    <xf numFmtId="0" fontId="1" fillId="5" borderId="18" xfId="8" applyFill="1" applyBorder="1" applyAlignment="1">
      <alignment horizontal="left"/>
    </xf>
    <xf numFmtId="0" fontId="1" fillId="5" borderId="19" xfId="8" applyFont="1" applyFill="1" applyBorder="1" applyAlignment="1">
      <alignment wrapText="1"/>
    </xf>
    <xf numFmtId="0" fontId="1" fillId="5" borderId="19" xfId="8" applyFill="1" applyBorder="1" applyAlignment="1">
      <alignment horizontal="left"/>
    </xf>
    <xf numFmtId="0" fontId="1" fillId="5" borderId="17" xfId="8" applyFont="1" applyFill="1" applyBorder="1" applyAlignment="1">
      <alignment wrapText="1"/>
    </xf>
    <xf numFmtId="0" fontId="1" fillId="2" borderId="0" xfId="8" applyFill="1" applyBorder="1"/>
    <xf numFmtId="0" fontId="1" fillId="2" borderId="0" xfId="8" applyFont="1" applyFill="1" applyBorder="1" applyAlignment="1">
      <alignment horizontal="left" wrapText="1" indent="1"/>
    </xf>
    <xf numFmtId="0" fontId="1" fillId="5" borderId="18" xfId="8" applyFont="1" applyFill="1" applyBorder="1" applyAlignment="1">
      <alignment horizontal="left"/>
    </xf>
    <xf numFmtId="9" fontId="1" fillId="5" borderId="17" xfId="8" applyNumberFormat="1" applyFont="1" applyFill="1" applyBorder="1" applyAlignment="1">
      <alignment wrapText="1"/>
    </xf>
    <xf numFmtId="0" fontId="3" fillId="2" borderId="0" xfId="8" applyFont="1" applyFill="1" applyBorder="1" applyAlignment="1">
      <alignment horizontal="left" wrapText="1" indent="1"/>
    </xf>
    <xf numFmtId="9" fontId="1" fillId="2" borderId="0" xfId="8" applyNumberFormat="1" applyFont="1" applyFill="1" applyBorder="1" applyAlignment="1">
      <alignment wrapText="1"/>
    </xf>
    <xf numFmtId="169" fontId="1" fillId="2" borderId="0" xfId="8" applyNumberFormat="1" applyFont="1" applyFill="1" applyBorder="1" applyAlignment="1">
      <alignment wrapText="1"/>
    </xf>
    <xf numFmtId="169" fontId="3" fillId="4" borderId="17" xfId="9" applyNumberFormat="1" applyFont="1" applyFill="1" applyBorder="1" applyAlignment="1">
      <alignment wrapText="1"/>
    </xf>
    <xf numFmtId="0" fontId="1" fillId="2" borderId="15" xfId="8" applyFill="1" applyBorder="1" applyAlignment="1">
      <alignment horizontal="left" indent="1"/>
    </xf>
    <xf numFmtId="0" fontId="1" fillId="5" borderId="19" xfId="8" applyFill="1" applyBorder="1" applyAlignment="1">
      <alignment horizontal="left" indent="1"/>
    </xf>
    <xf numFmtId="0" fontId="1" fillId="5" borderId="18" xfId="8" applyFill="1" applyBorder="1" applyAlignment="1">
      <alignment horizontal="left" indent="1"/>
    </xf>
    <xf numFmtId="169" fontId="1" fillId="5" borderId="17" xfId="8" applyNumberFormat="1" applyFill="1" applyBorder="1"/>
    <xf numFmtId="9" fontId="0" fillId="5" borderId="17" xfId="10" applyFont="1" applyFill="1" applyBorder="1"/>
    <xf numFmtId="169" fontId="0" fillId="5" borderId="17" xfId="10" applyNumberFormat="1" applyFont="1" applyFill="1" applyBorder="1"/>
    <xf numFmtId="0" fontId="3" fillId="5" borderId="19" xfId="8" applyFont="1" applyFill="1" applyBorder="1" applyAlignment="1">
      <alignment horizontal="left"/>
    </xf>
    <xf numFmtId="169" fontId="0" fillId="5" borderId="18" xfId="10" applyNumberFormat="1" applyFont="1" applyFill="1" applyBorder="1"/>
    <xf numFmtId="9" fontId="0" fillId="2" borderId="0" xfId="10" applyFont="1" applyFill="1" applyBorder="1"/>
    <xf numFmtId="168" fontId="0" fillId="5" borderId="17" xfId="10" applyNumberFormat="1" applyFont="1" applyFill="1" applyBorder="1"/>
    <xf numFmtId="0" fontId="3" fillId="5" borderId="19" xfId="8" applyFont="1" applyFill="1" applyBorder="1" applyAlignment="1">
      <alignment horizontal="left" vertical="top" wrapText="1" indent="1"/>
    </xf>
    <xf numFmtId="165" fontId="3" fillId="5" borderId="16" xfId="8" applyNumberFormat="1" applyFont="1" applyFill="1" applyBorder="1" applyAlignment="1">
      <alignment horizontal="center" wrapText="1"/>
    </xf>
    <xf numFmtId="165" fontId="3" fillId="5" borderId="18" xfId="8" applyNumberFormat="1" applyFont="1" applyFill="1" applyBorder="1" applyAlignment="1">
      <alignment horizontal="center" wrapText="1"/>
    </xf>
    <xf numFmtId="0" fontId="3" fillId="5" borderId="17" xfId="8" applyFont="1" applyFill="1" applyBorder="1" applyAlignment="1">
      <alignment vertical="center" wrapText="1"/>
    </xf>
    <xf numFmtId="0" fontId="3" fillId="5" borderId="17" xfId="8" applyFont="1" applyFill="1" applyBorder="1" applyAlignment="1">
      <alignment horizontal="center" vertical="center" wrapText="1"/>
    </xf>
    <xf numFmtId="0" fontId="3" fillId="5" borderId="17" xfId="8" applyFont="1" applyFill="1" applyBorder="1" applyAlignment="1">
      <alignment horizontal="left" vertical="center" wrapText="1"/>
    </xf>
    <xf numFmtId="165" fontId="3" fillId="5" borderId="17" xfId="8" applyNumberFormat="1" applyFont="1" applyFill="1" applyBorder="1" applyAlignment="1">
      <alignment horizontal="center" vertical="center" wrapText="1"/>
    </xf>
    <xf numFmtId="0" fontId="1" fillId="2" borderId="0" xfId="8" applyFill="1" applyAlignment="1">
      <alignment vertical="center"/>
    </xf>
    <xf numFmtId="0" fontId="3" fillId="7" borderId="19" xfId="8" applyFont="1" applyFill="1" applyBorder="1"/>
    <xf numFmtId="0" fontId="3" fillId="7" borderId="16" xfId="8" applyFont="1" applyFill="1" applyBorder="1"/>
    <xf numFmtId="169" fontId="3" fillId="7" borderId="16" xfId="9" applyNumberFormat="1" applyFont="1" applyFill="1" applyBorder="1"/>
    <xf numFmtId="0" fontId="3" fillId="8" borderId="19" xfId="8" applyFont="1" applyFill="1" applyBorder="1" applyAlignment="1">
      <alignment horizontal="left" indent="1"/>
    </xf>
    <xf numFmtId="0" fontId="3" fillId="8" borderId="20" xfId="8" applyFont="1" applyFill="1" applyBorder="1" applyAlignment="1">
      <alignment horizontal="left" indent="1"/>
    </xf>
    <xf numFmtId="169" fontId="0" fillId="8" borderId="17" xfId="9" applyNumberFormat="1" applyFont="1" applyFill="1" applyBorder="1"/>
    <xf numFmtId="0" fontId="1" fillId="2" borderId="19" xfId="8" applyFill="1" applyBorder="1" applyAlignment="1">
      <alignment horizontal="left" indent="2"/>
    </xf>
    <xf numFmtId="0" fontId="1" fillId="2" borderId="17" xfId="8" applyFill="1" applyBorder="1" applyAlignment="1">
      <alignment horizontal="center" vertical="center"/>
    </xf>
    <xf numFmtId="165" fontId="1" fillId="2" borderId="20" xfId="8" applyNumberFormat="1" applyFill="1" applyBorder="1" applyAlignment="1">
      <alignment horizontal="right" indent="2"/>
    </xf>
    <xf numFmtId="2" fontId="1" fillId="2" borderId="20" xfId="8" applyNumberFormat="1" applyFill="1" applyBorder="1" applyAlignment="1">
      <alignment horizontal="right" indent="2"/>
    </xf>
    <xf numFmtId="169" fontId="0" fillId="2" borderId="17" xfId="9" applyNumberFormat="1" applyFont="1" applyFill="1" applyBorder="1"/>
    <xf numFmtId="165" fontId="1" fillId="2" borderId="17" xfId="8" applyNumberFormat="1" applyFill="1" applyBorder="1"/>
    <xf numFmtId="2" fontId="1" fillId="2" borderId="17" xfId="8" applyNumberFormat="1" applyFill="1" applyBorder="1"/>
    <xf numFmtId="0" fontId="3" fillId="5" borderId="17" xfId="8" applyFont="1" applyFill="1" applyBorder="1" applyAlignment="1">
      <alignment horizontal="left" wrapText="1" indent="1"/>
    </xf>
    <xf numFmtId="0" fontId="3" fillId="5" borderId="17" xfId="8" applyFont="1" applyFill="1" applyBorder="1" applyAlignment="1">
      <alignment horizontal="center" wrapText="1"/>
    </xf>
    <xf numFmtId="0" fontId="3" fillId="5" borderId="17" xfId="8" applyFont="1" applyFill="1" applyBorder="1" applyAlignment="1">
      <alignment horizontal="left" vertical="center" wrapText="1" indent="1"/>
    </xf>
    <xf numFmtId="165" fontId="3" fillId="5" borderId="17" xfId="8" applyNumberFormat="1" applyFont="1" applyFill="1" applyBorder="1" applyAlignment="1">
      <alignment horizontal="center" wrapText="1"/>
    </xf>
    <xf numFmtId="0" fontId="3" fillId="9" borderId="17" xfId="8" applyFont="1" applyFill="1" applyBorder="1"/>
    <xf numFmtId="169" fontId="3" fillId="9" borderId="17" xfId="9" applyNumberFormat="1" applyFont="1" applyFill="1" applyBorder="1"/>
    <xf numFmtId="0" fontId="1" fillId="10" borderId="17" xfId="8" applyFill="1" applyBorder="1" applyAlignment="1">
      <alignment horizontal="left" indent="1"/>
    </xf>
    <xf numFmtId="169" fontId="0" fillId="10" borderId="17" xfId="9" applyNumberFormat="1" applyFont="1" applyFill="1" applyBorder="1"/>
    <xf numFmtId="0" fontId="1" fillId="2" borderId="17" xfId="8" applyFill="1" applyBorder="1" applyAlignment="1">
      <alignment horizontal="left" indent="2"/>
    </xf>
    <xf numFmtId="0" fontId="1" fillId="2" borderId="17" xfId="8" applyFill="1" applyBorder="1" applyAlignment="1">
      <alignment horizontal="center"/>
    </xf>
    <xf numFmtId="165" fontId="1" fillId="10" borderId="17" xfId="8" applyNumberFormat="1" applyFill="1" applyBorder="1" applyAlignment="1">
      <alignment horizontal="left" indent="1"/>
    </xf>
    <xf numFmtId="2" fontId="1" fillId="2" borderId="17" xfId="8" applyNumberFormat="1" applyFill="1" applyBorder="1" applyAlignment="1">
      <alignment horizontal="center"/>
    </xf>
    <xf numFmtId="0" fontId="1" fillId="2" borderId="0" xfId="8" applyFill="1" applyBorder="1" applyAlignment="1">
      <alignment horizontal="center"/>
    </xf>
    <xf numFmtId="169" fontId="0" fillId="2" borderId="0" xfId="9" applyNumberFormat="1" applyFont="1" applyFill="1" applyBorder="1"/>
    <xf numFmtId="0" fontId="3" fillId="9" borderId="19" xfId="8" applyFont="1" applyFill="1" applyBorder="1"/>
    <xf numFmtId="0" fontId="3" fillId="9" borderId="16" xfId="8" applyFont="1" applyFill="1" applyBorder="1"/>
    <xf numFmtId="169" fontId="3" fillId="9" borderId="18" xfId="9" applyNumberFormat="1" applyFont="1" applyFill="1" applyBorder="1"/>
    <xf numFmtId="0" fontId="1" fillId="10" borderId="17" xfId="8" applyFill="1" applyBorder="1" applyAlignment="1">
      <alignment horizontal="center"/>
    </xf>
    <xf numFmtId="165" fontId="1" fillId="2" borderId="17" xfId="8" applyNumberFormat="1" applyFill="1" applyBorder="1" applyAlignment="1">
      <alignment horizontal="center"/>
    </xf>
    <xf numFmtId="0" fontId="1" fillId="2" borderId="0" xfId="8" applyFill="1" applyBorder="1" applyAlignment="1">
      <alignment horizontal="center" vertical="center"/>
    </xf>
    <xf numFmtId="165" fontId="1" fillId="2" borderId="0" xfId="8" applyNumberFormat="1" applyFill="1" applyBorder="1" applyAlignment="1">
      <alignment horizontal="center"/>
    </xf>
    <xf numFmtId="0" fontId="1" fillId="2" borderId="0" xfId="8" applyFont="1" applyFill="1" applyBorder="1" applyAlignment="1">
      <alignment horizontal="left" indent="1"/>
    </xf>
    <xf numFmtId="168" fontId="1" fillId="2" borderId="0" xfId="9" applyFont="1" applyFill="1" applyBorder="1" applyAlignment="1">
      <alignment horizontal="right"/>
    </xf>
    <xf numFmtId="168" fontId="0" fillId="2" borderId="0" xfId="9" applyFont="1" applyFill="1"/>
    <xf numFmtId="168" fontId="1" fillId="2" borderId="0" xfId="8" applyNumberFormat="1" applyFill="1"/>
    <xf numFmtId="2" fontId="1" fillId="8" borderId="20" xfId="8" applyNumberFormat="1" applyFont="1" applyFill="1" applyBorder="1" applyAlignment="1">
      <alignment horizontal="center"/>
    </xf>
    <xf numFmtId="169" fontId="1" fillId="2" borderId="0" xfId="8" applyNumberFormat="1" applyFill="1"/>
    <xf numFmtId="0" fontId="1" fillId="2" borderId="19" xfId="8" applyFill="1" applyBorder="1" applyAlignment="1">
      <alignment horizontal="center"/>
    </xf>
    <xf numFmtId="0" fontId="1" fillId="2" borderId="20" xfId="8" applyFill="1" applyBorder="1" applyAlignment="1">
      <alignment horizontal="left" indent="2"/>
    </xf>
    <xf numFmtId="2" fontId="1" fillId="2" borderId="20" xfId="8" applyNumberFormat="1" applyFont="1" applyFill="1" applyBorder="1" applyAlignment="1">
      <alignment horizontal="center"/>
    </xf>
    <xf numFmtId="169" fontId="0" fillId="12" borderId="17" xfId="9" applyNumberFormat="1" applyFont="1" applyFill="1" applyBorder="1"/>
    <xf numFmtId="0" fontId="3" fillId="8" borderId="20" xfId="8" applyFont="1" applyFill="1" applyBorder="1" applyAlignment="1">
      <alignment horizontal="center"/>
    </xf>
    <xf numFmtId="169" fontId="0" fillId="2" borderId="21" xfId="9" applyNumberFormat="1" applyFont="1" applyFill="1" applyBorder="1"/>
    <xf numFmtId="0" fontId="3" fillId="8" borderId="19" xfId="8" applyFont="1" applyFill="1" applyBorder="1" applyAlignment="1">
      <alignment horizontal="center"/>
    </xf>
    <xf numFmtId="169" fontId="3" fillId="8" borderId="17" xfId="9" applyNumberFormat="1" applyFont="1" applyFill="1" applyBorder="1"/>
    <xf numFmtId="169" fontId="3" fillId="12" borderId="17" xfId="9" applyNumberFormat="1" applyFont="1" applyFill="1" applyBorder="1"/>
    <xf numFmtId="169" fontId="0" fillId="2" borderId="22" xfId="9" applyNumberFormat="1" applyFont="1" applyFill="1" applyBorder="1"/>
    <xf numFmtId="169" fontId="0" fillId="2" borderId="23" xfId="9" applyNumberFormat="1" applyFont="1" applyFill="1" applyBorder="1"/>
    <xf numFmtId="0" fontId="3" fillId="8" borderId="20" xfId="8" applyFont="1" applyFill="1" applyBorder="1" applyAlignment="1">
      <alignment horizontal="right" indent="1"/>
    </xf>
    <xf numFmtId="169" fontId="0" fillId="8" borderId="22" xfId="9" applyNumberFormat="1" applyFont="1" applyFill="1" applyBorder="1"/>
    <xf numFmtId="169" fontId="0" fillId="2" borderId="18" xfId="9" applyNumberFormat="1" applyFont="1" applyFill="1" applyBorder="1"/>
    <xf numFmtId="0" fontId="1" fillId="2" borderId="16" xfId="8" applyFill="1" applyBorder="1" applyAlignment="1">
      <alignment horizontal="left" indent="2"/>
    </xf>
    <xf numFmtId="0" fontId="1" fillId="2" borderId="7" xfId="8" applyFill="1" applyBorder="1" applyAlignment="1">
      <alignment horizontal="left" indent="2"/>
    </xf>
    <xf numFmtId="0" fontId="1" fillId="2" borderId="0" xfId="8" applyFont="1" applyFill="1" applyBorder="1" applyAlignment="1">
      <alignment horizontal="left" indent="2"/>
    </xf>
    <xf numFmtId="165" fontId="1" fillId="2" borderId="0" xfId="8" applyNumberFormat="1" applyFill="1" applyBorder="1"/>
    <xf numFmtId="165" fontId="1" fillId="10" borderId="20" xfId="8" applyNumberFormat="1" applyFill="1" applyBorder="1" applyAlignment="1">
      <alignment horizontal="right" indent="2"/>
    </xf>
    <xf numFmtId="1" fontId="1" fillId="2" borderId="20" xfId="8" applyNumberFormat="1" applyFill="1" applyBorder="1" applyAlignment="1">
      <alignment horizontal="right" indent="2"/>
    </xf>
    <xf numFmtId="165" fontId="1" fillId="10" borderId="17" xfId="8" applyNumberFormat="1" applyFill="1" applyBorder="1" applyAlignment="1">
      <alignment horizontal="right" indent="1"/>
    </xf>
    <xf numFmtId="0" fontId="1" fillId="2" borderId="16" xfId="8" applyFill="1" applyBorder="1"/>
    <xf numFmtId="0" fontId="1" fillId="2" borderId="16" xfId="8" applyFill="1" applyBorder="1" applyAlignment="1">
      <alignment horizontal="center"/>
    </xf>
    <xf numFmtId="0" fontId="3" fillId="9" borderId="16" xfId="8" applyFont="1" applyFill="1" applyBorder="1" applyAlignment="1">
      <alignment horizontal="center"/>
    </xf>
    <xf numFmtId="0" fontId="1" fillId="2" borderId="17" xfId="8" applyFont="1" applyFill="1" applyBorder="1" applyAlignment="1">
      <alignment horizontal="center" wrapText="1"/>
    </xf>
    <xf numFmtId="0" fontId="1" fillId="2" borderId="16" xfId="8" applyFont="1" applyFill="1" applyBorder="1" applyAlignment="1">
      <alignment horizontal="center" wrapText="1"/>
    </xf>
    <xf numFmtId="0" fontId="1" fillId="2" borderId="16" xfId="8" applyFill="1" applyBorder="1" applyAlignment="1">
      <alignment horizontal="center" vertical="center"/>
    </xf>
    <xf numFmtId="1" fontId="1" fillId="10" borderId="17" xfId="8" applyNumberFormat="1" applyFill="1" applyBorder="1" applyAlignment="1">
      <alignment horizontal="left" indent="1"/>
    </xf>
    <xf numFmtId="0" fontId="3" fillId="5" borderId="24" xfId="8" applyFont="1" applyFill="1" applyBorder="1" applyAlignment="1">
      <alignment horizontal="left" vertical="top" wrapText="1" indent="1"/>
    </xf>
    <xf numFmtId="165" fontId="3" fillId="5" borderId="5" xfId="8" applyNumberFormat="1" applyFont="1" applyFill="1" applyBorder="1" applyAlignment="1">
      <alignment horizontal="center" wrapText="1"/>
    </xf>
    <xf numFmtId="165" fontId="3" fillId="5" borderId="25" xfId="8" applyNumberFormat="1" applyFont="1" applyFill="1" applyBorder="1" applyAlignment="1">
      <alignment horizontal="center" wrapText="1"/>
    </xf>
    <xf numFmtId="0" fontId="3" fillId="5" borderId="22" xfId="8" applyFont="1" applyFill="1" applyBorder="1" applyAlignment="1">
      <alignment vertical="center" wrapText="1"/>
    </xf>
    <xf numFmtId="0" fontId="3" fillId="5" borderId="22" xfId="8" applyFont="1" applyFill="1" applyBorder="1" applyAlignment="1">
      <alignment horizontal="center" vertical="center" wrapText="1"/>
    </xf>
    <xf numFmtId="165" fontId="3" fillId="5" borderId="22" xfId="8" applyNumberFormat="1" applyFont="1" applyFill="1" applyBorder="1" applyAlignment="1">
      <alignment horizontal="center" vertical="center" wrapText="1"/>
    </xf>
    <xf numFmtId="0" fontId="3" fillId="7" borderId="26" xfId="8" applyFont="1" applyFill="1" applyBorder="1"/>
    <xf numFmtId="0" fontId="3" fillId="7" borderId="3" xfId="8" applyFont="1" applyFill="1" applyBorder="1"/>
    <xf numFmtId="0" fontId="3" fillId="7" borderId="27" xfId="8" applyFont="1" applyFill="1" applyBorder="1"/>
    <xf numFmtId="0" fontId="3" fillId="8" borderId="28" xfId="8" applyFont="1" applyFill="1" applyBorder="1" applyAlignment="1">
      <alignment horizontal="left" indent="1"/>
    </xf>
    <xf numFmtId="0" fontId="3" fillId="8" borderId="29" xfId="8" applyFont="1" applyFill="1" applyBorder="1" applyAlignment="1">
      <alignment horizontal="left" indent="1"/>
    </xf>
    <xf numFmtId="0" fontId="1" fillId="2" borderId="28" xfId="8" applyFill="1" applyBorder="1" applyAlignment="1">
      <alignment horizontal="left" indent="2"/>
    </xf>
    <xf numFmtId="2" fontId="1" fillId="2" borderId="29" xfId="8" applyNumberFormat="1" applyFill="1" applyBorder="1" applyAlignment="1">
      <alignment horizontal="right" indent="2"/>
    </xf>
    <xf numFmtId="2" fontId="1" fillId="2" borderId="30" xfId="8" applyNumberFormat="1" applyFill="1" applyBorder="1"/>
    <xf numFmtId="0" fontId="1" fillId="2" borderId="31" xfId="8" applyFill="1" applyBorder="1" applyAlignment="1">
      <alignment horizontal="left" indent="2"/>
    </xf>
    <xf numFmtId="0" fontId="1" fillId="2" borderId="32" xfId="8" applyFill="1" applyBorder="1" applyAlignment="1">
      <alignment horizontal="center" vertical="center"/>
    </xf>
    <xf numFmtId="165" fontId="1" fillId="2" borderId="32" xfId="8" applyNumberFormat="1" applyFill="1" applyBorder="1"/>
    <xf numFmtId="2" fontId="1" fillId="2" borderId="32" xfId="8" applyNumberFormat="1" applyFill="1" applyBorder="1"/>
    <xf numFmtId="2" fontId="1" fillId="2" borderId="33" xfId="8" applyNumberFormat="1" applyFill="1" applyBorder="1"/>
    <xf numFmtId="0" fontId="2" fillId="0" borderId="4" xfId="3" applyFont="1" applyFill="1" applyBorder="1"/>
    <xf numFmtId="170" fontId="2" fillId="0" borderId="2" xfId="3" applyNumberFormat="1" applyFont="1" applyFill="1" applyBorder="1" applyAlignment="1">
      <alignment horizontal="center"/>
    </xf>
    <xf numFmtId="43" fontId="2" fillId="0" borderId="2" xfId="5" applyFont="1" applyFill="1" applyBorder="1" applyAlignment="1">
      <alignment horizontal="center"/>
    </xf>
    <xf numFmtId="0" fontId="2" fillId="0" borderId="2" xfId="3" applyFont="1" applyFill="1" applyBorder="1"/>
    <xf numFmtId="0" fontId="2" fillId="0" borderId="12" xfId="3" applyFont="1" applyFill="1" applyBorder="1" applyAlignment="1">
      <alignment horizontal="center"/>
    </xf>
    <xf numFmtId="0" fontId="2" fillId="0" borderId="14" xfId="3" applyFont="1" applyFill="1" applyBorder="1" applyAlignment="1">
      <alignment horizontal="center"/>
    </xf>
  </cellXfs>
  <cellStyles count="11">
    <cellStyle name="Millares 2" xfId="4"/>
    <cellStyle name="Millares 3" xfId="5"/>
    <cellStyle name="Millares 4" xfId="9"/>
    <cellStyle name="Normal" xfId="0" builtinId="0"/>
    <cellStyle name="Normal 13" xfId="2"/>
    <cellStyle name="Normal 2" xfId="3"/>
    <cellStyle name="Normal 2 2" xfId="6"/>
    <cellStyle name="Normal 3" xfId="7"/>
    <cellStyle name="Normal 4" xfId="8"/>
    <cellStyle name="Porcentaje" xfId="1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Calculos%20Facgtor%20Fransisco/20181117_GiZ_BO_GHG_Power_Sector%20V2%20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fici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id-EF"/>
      <sheetName val="OM_EF_2017"/>
      <sheetName val="OM_EF_2016"/>
      <sheetName val="OM_EF_2015"/>
      <sheetName val="OM_EF_2014"/>
      <sheetName val="OM_EF_2013"/>
      <sheetName val="OM_EF_2012"/>
      <sheetName val="OM_EF_2011"/>
      <sheetName val="OM_EF_2010"/>
      <sheetName val="OM_EF_2009"/>
      <sheetName val="OM_EF_2008"/>
      <sheetName val="BM_EF_2017"/>
      <sheetName val="BM_EF_2010"/>
      <sheetName val="GHG-ER"/>
      <sheetName val="GHG-ER-SC-&gt;CC"/>
      <sheetName val="Scenario_Current_Demand"/>
      <sheetName val="Scenario_NDC"/>
      <sheetName val="Scenario_100%_RE"/>
      <sheetName val="Graphs"/>
      <sheetName val="Leakage_EF_2010"/>
      <sheetName val="Unit_EF_2008"/>
      <sheetName val="References"/>
    </sheetNames>
    <sheetDataSet>
      <sheetData sheetId="0"/>
      <sheetData sheetId="1">
        <row r="9">
          <cell r="H9">
            <v>0.3890598651268462</v>
          </cell>
          <cell r="I9">
            <v>0.38881636387976309</v>
          </cell>
          <cell r="J9">
            <v>0.41061499921819916</v>
          </cell>
          <cell r="K9">
            <v>0.38133374857362462</v>
          </cell>
          <cell r="L9">
            <v>0.41673904967390796</v>
          </cell>
          <cell r="M9">
            <v>0.39789914864278025</v>
          </cell>
          <cell r="N9">
            <v>0.46455989911712259</v>
          </cell>
          <cell r="O9">
            <v>0.42261392631992878</v>
          </cell>
        </row>
      </sheetData>
      <sheetData sheetId="2">
        <row r="22">
          <cell r="D22">
            <v>1419.7399999999996</v>
          </cell>
          <cell r="H22">
            <v>3757647.5833060076</v>
          </cell>
        </row>
        <row r="24">
          <cell r="G24">
            <v>0.56430470027607305</v>
          </cell>
        </row>
        <row r="25">
          <cell r="G25">
            <v>0.4944620795160809</v>
          </cell>
        </row>
        <row r="27">
          <cell r="G27">
            <v>0.60378353760396697</v>
          </cell>
        </row>
        <row r="28">
          <cell r="G28">
            <v>0.60378353760396697</v>
          </cell>
        </row>
        <row r="29">
          <cell r="G29">
            <v>0.60378353760396697</v>
          </cell>
        </row>
        <row r="30">
          <cell r="G30">
            <v>0.68049204311663647</v>
          </cell>
        </row>
        <row r="31">
          <cell r="G31">
            <v>0.53565738803214413</v>
          </cell>
        </row>
        <row r="32">
          <cell r="G32">
            <v>0.53565738803214413</v>
          </cell>
        </row>
        <row r="33">
          <cell r="G33">
            <v>0.53565738803214413</v>
          </cell>
        </row>
        <row r="34">
          <cell r="G34">
            <v>0.53565738803214413</v>
          </cell>
        </row>
        <row r="35">
          <cell r="G35">
            <v>0.53565738803214413</v>
          </cell>
        </row>
        <row r="36">
          <cell r="G36">
            <v>0.53565738803214413</v>
          </cell>
        </row>
        <row r="37">
          <cell r="G37">
            <v>0.53565738803214413</v>
          </cell>
        </row>
        <row r="39">
          <cell r="G39">
            <v>0.53293470959573763</v>
          </cell>
        </row>
        <row r="40">
          <cell r="G40">
            <v>0.53630846331041515</v>
          </cell>
        </row>
        <row r="41">
          <cell r="G41">
            <v>0.52168886388014557</v>
          </cell>
        </row>
        <row r="42">
          <cell r="G42">
            <v>0.60672648117717065</v>
          </cell>
        </row>
        <row r="43">
          <cell r="G43">
            <v>0.59295201252000207</v>
          </cell>
        </row>
        <row r="44">
          <cell r="G44">
            <v>0.64048050783379351</v>
          </cell>
        </row>
        <row r="45">
          <cell r="G45">
            <v>0.56087175789973454</v>
          </cell>
        </row>
        <row r="47">
          <cell r="G47">
            <v>0.59224174858007006</v>
          </cell>
        </row>
        <row r="48">
          <cell r="G48">
            <v>0.59170905062512091</v>
          </cell>
        </row>
        <row r="49">
          <cell r="G49">
            <v>0.59176823928678191</v>
          </cell>
        </row>
        <row r="50">
          <cell r="G50">
            <v>0.59703603017461182</v>
          </cell>
        </row>
        <row r="52">
          <cell r="G52">
            <v>0.70854746874395536</v>
          </cell>
        </row>
        <row r="53">
          <cell r="G53">
            <v>0.74548119362042586</v>
          </cell>
        </row>
        <row r="54">
          <cell r="G54">
            <v>0.75962728375740729</v>
          </cell>
        </row>
        <row r="55">
          <cell r="G55">
            <v>0.74838143804181545</v>
          </cell>
        </row>
        <row r="56">
          <cell r="G56">
            <v>0.59602982292637463</v>
          </cell>
        </row>
        <row r="57">
          <cell r="G57">
            <v>0.59602982292637463</v>
          </cell>
        </row>
        <row r="58">
          <cell r="G58">
            <v>0.59602982292637463</v>
          </cell>
        </row>
        <row r="59">
          <cell r="G59">
            <v>0.426809439237546</v>
          </cell>
        </row>
        <row r="61">
          <cell r="G61">
            <v>0.70197752729958329</v>
          </cell>
        </row>
        <row r="63">
          <cell r="G63">
            <v>0.71464390089503949</v>
          </cell>
        </row>
        <row r="64">
          <cell r="G64">
            <v>0.7091985440222266</v>
          </cell>
        </row>
        <row r="66">
          <cell r="G66">
            <v>0.70138564068297304</v>
          </cell>
        </row>
        <row r="67">
          <cell r="G67">
            <v>0.69085005890731344</v>
          </cell>
        </row>
        <row r="69">
          <cell r="G69">
            <v>0.55329560920712517</v>
          </cell>
        </row>
        <row r="70">
          <cell r="G70">
            <v>0.55601828764353167</v>
          </cell>
        </row>
        <row r="71">
          <cell r="G71">
            <v>0.55069130809404065</v>
          </cell>
        </row>
        <row r="72">
          <cell r="G72">
            <v>0.55033617612407471</v>
          </cell>
        </row>
        <row r="73">
          <cell r="G73">
            <v>0.70147713437403492</v>
          </cell>
        </row>
        <row r="74">
          <cell r="G74">
            <v>0.77217528002954161</v>
          </cell>
        </row>
        <row r="75">
          <cell r="G75">
            <v>0.69576271782517718</v>
          </cell>
        </row>
        <row r="76">
          <cell r="G76">
            <v>0.73269644270164769</v>
          </cell>
        </row>
        <row r="77">
          <cell r="G77">
            <v>0.77010367687140613</v>
          </cell>
        </row>
        <row r="78">
          <cell r="G78">
            <v>0.62592009706518492</v>
          </cell>
        </row>
        <row r="79">
          <cell r="G79">
            <v>0.6288795301482355</v>
          </cell>
        </row>
        <row r="80">
          <cell r="G80">
            <v>0.63106951062969285</v>
          </cell>
        </row>
        <row r="81">
          <cell r="G81">
            <v>0.6315430199229809</v>
          </cell>
        </row>
        <row r="83">
          <cell r="G83">
            <v>0.53500631275387289</v>
          </cell>
        </row>
        <row r="84">
          <cell r="G84">
            <v>0.54003734899505884</v>
          </cell>
        </row>
        <row r="85">
          <cell r="G85">
            <v>0.53991897167173675</v>
          </cell>
        </row>
        <row r="86">
          <cell r="G86">
            <v>0.54062923561166887</v>
          </cell>
        </row>
        <row r="87">
          <cell r="G87">
            <v>0.54128031088994011</v>
          </cell>
        </row>
        <row r="90">
          <cell r="D90">
            <v>609.87000000000012</v>
          </cell>
        </row>
        <row r="162">
          <cell r="D162">
            <v>40.57</v>
          </cell>
        </row>
        <row r="170">
          <cell r="D170">
            <v>27</v>
          </cell>
        </row>
      </sheetData>
      <sheetData sheetId="3">
        <row r="23">
          <cell r="H23">
            <v>4027512.3858852028</v>
          </cell>
        </row>
      </sheetData>
      <sheetData sheetId="4">
        <row r="22">
          <cell r="H22">
            <v>3281998.2416344592</v>
          </cell>
        </row>
      </sheetData>
      <sheetData sheetId="5">
        <row r="22">
          <cell r="H22">
            <v>3227014.1231285771</v>
          </cell>
        </row>
      </sheetData>
      <sheetData sheetId="6">
        <row r="22">
          <cell r="H22">
            <v>2778715.3568573501</v>
          </cell>
        </row>
      </sheetData>
      <sheetData sheetId="7">
        <row r="22">
          <cell r="H22">
            <v>2817609.7087179245</v>
          </cell>
        </row>
      </sheetData>
      <sheetData sheetId="8">
        <row r="22">
          <cell r="H22">
            <v>2563443.5542223589</v>
          </cell>
        </row>
      </sheetData>
      <sheetData sheetId="9">
        <row r="23">
          <cell r="H23">
            <v>2367600.8022007537</v>
          </cell>
        </row>
      </sheetData>
      <sheetData sheetId="10"/>
      <sheetData sheetId="11"/>
      <sheetData sheetId="12"/>
      <sheetData sheetId="13"/>
      <sheetData sheetId="14">
        <row r="29">
          <cell r="J29">
            <v>0.38170767905185599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5F5"/>
      <sheetName val="Eficiencia"/>
      <sheetName val="Aislados"/>
      <sheetName val="% despacho"/>
    </sheetNames>
    <sheetDataSet>
      <sheetData sheetId="0"/>
      <sheetData sheetId="1"/>
      <sheetData sheetId="2"/>
      <sheetData sheetId="3">
        <row r="9">
          <cell r="G9">
            <v>8.5714285714285715E-2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33"/>
  </sheetPr>
  <dimension ref="B3:AC347"/>
  <sheetViews>
    <sheetView topLeftCell="A10" zoomScaleNormal="100" workbookViewId="0">
      <selection activeCell="B11" sqref="B11"/>
    </sheetView>
  </sheetViews>
  <sheetFormatPr baseColWidth="10" defaultColWidth="9.109375" defaultRowHeight="14.4" x14ac:dyDescent="0.3"/>
  <cols>
    <col min="1" max="1" width="9.109375" style="207"/>
    <col min="2" max="2" width="54.33203125" style="207" customWidth="1"/>
    <col min="3" max="3" width="15.33203125" style="207" customWidth="1"/>
    <col min="4" max="4" width="12.6640625" style="207" customWidth="1"/>
    <col min="5" max="5" width="17.109375" style="207" customWidth="1"/>
    <col min="6" max="6" width="19.88671875" style="207" customWidth="1"/>
    <col min="7" max="11" width="15" style="207" bestFit="1" customWidth="1"/>
    <col min="12" max="13" width="14.5546875" style="207" bestFit="1" customWidth="1"/>
    <col min="14" max="14" width="15" style="207" bestFit="1" customWidth="1"/>
    <col min="15" max="15" width="14.5546875" style="207" bestFit="1" customWidth="1"/>
    <col min="16" max="16" width="15.6640625" style="207" bestFit="1" customWidth="1"/>
    <col min="17" max="17" width="16" style="207" bestFit="1" customWidth="1"/>
    <col min="18" max="25" width="15.6640625" style="207" bestFit="1" customWidth="1"/>
    <col min="26" max="26" width="16" style="207" bestFit="1" customWidth="1"/>
    <col min="27" max="27" width="18" style="207" bestFit="1" customWidth="1"/>
    <col min="28" max="28" width="19.44140625" style="207" bestFit="1" customWidth="1"/>
    <col min="29" max="29" width="12.88671875" style="207" bestFit="1" customWidth="1"/>
    <col min="30" max="30" width="9.109375" style="207"/>
    <col min="31" max="31" width="13.44140625" style="207" bestFit="1" customWidth="1"/>
    <col min="32" max="16384" width="9.109375" style="207"/>
  </cols>
  <sheetData>
    <row r="3" spans="2:29" ht="23.4" x14ac:dyDescent="0.45">
      <c r="B3" s="206" t="s">
        <v>105</v>
      </c>
    </row>
    <row r="6" spans="2:29" x14ac:dyDescent="0.3">
      <c r="B6" s="208"/>
      <c r="C6" s="209"/>
      <c r="D6" s="210" t="s">
        <v>106</v>
      </c>
      <c r="E6" s="211"/>
      <c r="F6" s="211"/>
      <c r="G6" s="212">
        <v>2010</v>
      </c>
      <c r="H6" s="212">
        <v>2011</v>
      </c>
      <c r="I6" s="212">
        <v>2012</v>
      </c>
      <c r="J6" s="212">
        <v>2013</v>
      </c>
      <c r="K6" s="212">
        <v>2014</v>
      </c>
      <c r="L6" s="212">
        <v>2015</v>
      </c>
      <c r="M6" s="212">
        <v>2016</v>
      </c>
      <c r="N6" s="212">
        <v>2017</v>
      </c>
      <c r="O6" s="212">
        <v>2018</v>
      </c>
      <c r="P6" s="212">
        <v>2019</v>
      </c>
      <c r="Q6" s="212">
        <v>2020</v>
      </c>
      <c r="R6" s="212">
        <v>2021</v>
      </c>
      <c r="S6" s="212">
        <v>2022</v>
      </c>
      <c r="T6" s="212">
        <v>2023</v>
      </c>
      <c r="U6" s="212">
        <v>2024</v>
      </c>
      <c r="V6" s="212">
        <v>2025</v>
      </c>
      <c r="W6" s="212">
        <v>2026</v>
      </c>
      <c r="X6" s="212">
        <v>2027</v>
      </c>
      <c r="Y6" s="212">
        <v>2028</v>
      </c>
      <c r="Z6" s="212">
        <v>2029</v>
      </c>
      <c r="AA6" s="212">
        <v>2030</v>
      </c>
    </row>
    <row r="7" spans="2:29" s="217" customFormat="1" x14ac:dyDescent="0.3">
      <c r="B7" s="213"/>
      <c r="C7" s="209"/>
      <c r="D7" s="214" t="s">
        <v>107</v>
      </c>
      <c r="E7" s="215"/>
      <c r="F7" s="215"/>
      <c r="G7" s="216">
        <f t="shared" ref="G7:M7" si="0">G8+G10</f>
        <v>1288.9499999999996</v>
      </c>
      <c r="H7" s="216">
        <f t="shared" si="0"/>
        <v>1288.9499999999996</v>
      </c>
      <c r="I7" s="216">
        <f t="shared" si="0"/>
        <v>1444.7699999999995</v>
      </c>
      <c r="J7" s="216">
        <f t="shared" si="0"/>
        <v>1480.1699999999996</v>
      </c>
      <c r="K7" s="216">
        <f t="shared" si="0"/>
        <v>1719.1199999999997</v>
      </c>
      <c r="L7" s="216">
        <f t="shared" si="0"/>
        <v>1948.1799999999998</v>
      </c>
      <c r="M7" s="216">
        <f t="shared" si="0"/>
        <v>1972.1799999999998</v>
      </c>
      <c r="N7" s="216">
        <f>N8+N10</f>
        <v>2097.1799999999998</v>
      </c>
      <c r="O7" s="216">
        <f t="shared" ref="O7:AA7" si="1">O8+O10</f>
        <v>2217.1799999999998</v>
      </c>
      <c r="P7" s="216">
        <f t="shared" si="1"/>
        <v>2386.1799999999998</v>
      </c>
      <c r="Q7" s="216">
        <f t="shared" si="1"/>
        <v>3101.0799999999995</v>
      </c>
      <c r="R7" s="216">
        <f t="shared" si="1"/>
        <v>3640.2799999999997</v>
      </c>
      <c r="S7" s="216">
        <f t="shared" si="1"/>
        <v>3640.2799999999997</v>
      </c>
      <c r="T7" s="216">
        <f t="shared" si="1"/>
        <v>3740.2799999999997</v>
      </c>
      <c r="U7" s="216">
        <f t="shared" si="1"/>
        <v>3740.2799999999997</v>
      </c>
      <c r="V7" s="216">
        <f t="shared" si="1"/>
        <v>5132.28</v>
      </c>
      <c r="W7" s="216">
        <f t="shared" si="1"/>
        <v>5132.28</v>
      </c>
      <c r="X7" s="216">
        <f t="shared" si="1"/>
        <v>5132.28</v>
      </c>
      <c r="Y7" s="216">
        <f t="shared" si="1"/>
        <v>5132.28</v>
      </c>
      <c r="Z7" s="216">
        <f t="shared" si="1"/>
        <v>9634.2800000000007</v>
      </c>
      <c r="AA7" s="216">
        <f t="shared" si="1"/>
        <v>11790.28</v>
      </c>
      <c r="AB7" s="217">
        <v>13387</v>
      </c>
      <c r="AC7" s="218">
        <f>AB7-AA7</f>
        <v>1596.7199999999993</v>
      </c>
    </row>
    <row r="8" spans="2:29" s="217" customFormat="1" x14ac:dyDescent="0.3">
      <c r="B8" s="219"/>
      <c r="C8" s="220"/>
      <c r="D8" s="221" t="s">
        <v>108</v>
      </c>
      <c r="E8" s="222"/>
      <c r="F8" s="222"/>
      <c r="G8" s="223">
        <f t="shared" ref="G8:L8" si="2">+H8-H25</f>
        <v>785.6799999999995</v>
      </c>
      <c r="H8" s="223">
        <f t="shared" si="2"/>
        <v>785.6799999999995</v>
      </c>
      <c r="I8" s="223">
        <f t="shared" si="2"/>
        <v>941.49999999999955</v>
      </c>
      <c r="J8" s="223">
        <f t="shared" si="2"/>
        <v>973.89999999999952</v>
      </c>
      <c r="K8" s="223">
        <f t="shared" si="2"/>
        <v>1198.2799999999995</v>
      </c>
      <c r="L8" s="223">
        <f t="shared" si="2"/>
        <v>1419.7399999999996</v>
      </c>
      <c r="M8" s="223">
        <f>+N8-N25</f>
        <v>1419.7399999999996</v>
      </c>
      <c r="N8" s="223">
        <f>[16]OM_EF_2017!D22</f>
        <v>1419.7399999999996</v>
      </c>
      <c r="O8" s="223">
        <f>+N8+O25</f>
        <v>1419.7399999999996</v>
      </c>
      <c r="P8" s="223">
        <f t="shared" ref="P8:AA8" si="3">+O8+P25</f>
        <v>1419.7399999999996</v>
      </c>
      <c r="Q8" s="223">
        <f t="shared" si="3"/>
        <v>1419.7399999999996</v>
      </c>
      <c r="R8" s="223">
        <f t="shared" si="3"/>
        <v>1419.7399999999996</v>
      </c>
      <c r="S8" s="223">
        <f t="shared" si="3"/>
        <v>1419.7399999999996</v>
      </c>
      <c r="T8" s="223">
        <f t="shared" si="3"/>
        <v>1419.7399999999996</v>
      </c>
      <c r="U8" s="223">
        <f t="shared" si="3"/>
        <v>1419.7399999999996</v>
      </c>
      <c r="V8" s="223">
        <f t="shared" si="3"/>
        <v>1419.7399999999996</v>
      </c>
      <c r="W8" s="223">
        <f t="shared" si="3"/>
        <v>1419.7399999999996</v>
      </c>
      <c r="X8" s="223">
        <f t="shared" si="3"/>
        <v>1419.7399999999996</v>
      </c>
      <c r="Y8" s="223">
        <f t="shared" si="3"/>
        <v>1419.7399999999996</v>
      </c>
      <c r="Z8" s="223">
        <f t="shared" si="3"/>
        <v>1419.7399999999996</v>
      </c>
      <c r="AA8" s="223">
        <f t="shared" si="3"/>
        <v>1419.7399999999996</v>
      </c>
    </row>
    <row r="9" spans="2:29" s="217" customFormat="1" x14ac:dyDescent="0.3">
      <c r="B9" s="213"/>
      <c r="C9" s="209"/>
      <c r="D9" s="224" t="s">
        <v>109</v>
      </c>
      <c r="E9" s="225"/>
      <c r="F9" s="225"/>
      <c r="G9" s="226"/>
      <c r="H9" s="226"/>
      <c r="I9" s="226"/>
      <c r="J9" s="226"/>
      <c r="K9" s="226"/>
      <c r="L9" s="226"/>
      <c r="M9" s="226"/>
      <c r="N9" s="227">
        <f>+N8/N7</f>
        <v>0.67697574838592756</v>
      </c>
      <c r="O9" s="227">
        <f t="shared" ref="O9:AA9" si="4">+O8/O7</f>
        <v>0.64033592220748858</v>
      </c>
      <c r="P9" s="227">
        <f t="shared" si="4"/>
        <v>0.59498445213688811</v>
      </c>
      <c r="Q9" s="227">
        <f t="shared" si="4"/>
        <v>0.4578211461813303</v>
      </c>
      <c r="R9" s="227">
        <f t="shared" si="4"/>
        <v>0.39000846088762392</v>
      </c>
      <c r="S9" s="227">
        <f t="shared" si="4"/>
        <v>0.39000846088762392</v>
      </c>
      <c r="T9" s="227">
        <f t="shared" si="4"/>
        <v>0.37958120782401306</v>
      </c>
      <c r="U9" s="227">
        <f t="shared" si="4"/>
        <v>0.37958120782401306</v>
      </c>
      <c r="V9" s="227">
        <f t="shared" si="4"/>
        <v>0.27662949020708139</v>
      </c>
      <c r="W9" s="227">
        <f t="shared" si="4"/>
        <v>0.27662949020708139</v>
      </c>
      <c r="X9" s="227">
        <f t="shared" si="4"/>
        <v>0.27662949020708139</v>
      </c>
      <c r="Y9" s="227">
        <f t="shared" si="4"/>
        <v>0.27662949020708139</v>
      </c>
      <c r="Z9" s="227">
        <f t="shared" si="4"/>
        <v>0.14736337328788446</v>
      </c>
      <c r="AA9" s="227">
        <f t="shared" si="4"/>
        <v>0.12041613939618054</v>
      </c>
    </row>
    <row r="10" spans="2:29" x14ac:dyDescent="0.3">
      <c r="B10" s="219"/>
      <c r="C10" s="220"/>
      <c r="D10" s="221" t="s">
        <v>110</v>
      </c>
      <c r="E10" s="222"/>
      <c r="F10" s="222"/>
      <c r="G10" s="223">
        <f t="shared" ref="G10:M10" si="5">G12+G14+G16+G18+G20</f>
        <v>503.2700000000001</v>
      </c>
      <c r="H10" s="223">
        <f t="shared" si="5"/>
        <v>503.2700000000001</v>
      </c>
      <c r="I10" s="223">
        <f t="shared" si="5"/>
        <v>503.2700000000001</v>
      </c>
      <c r="J10" s="223">
        <f t="shared" si="5"/>
        <v>506.2700000000001</v>
      </c>
      <c r="K10" s="223">
        <f t="shared" si="5"/>
        <v>520.84000000000015</v>
      </c>
      <c r="L10" s="223">
        <f t="shared" si="5"/>
        <v>528.44000000000017</v>
      </c>
      <c r="M10" s="223">
        <f t="shared" si="5"/>
        <v>552.44000000000017</v>
      </c>
      <c r="N10" s="223">
        <f>N12+N14+N16+N18+N20</f>
        <v>677.44000000000017</v>
      </c>
      <c r="O10" s="223">
        <f t="shared" ref="O10:AA10" si="6">O12+O14+O16+O18+O20</f>
        <v>797.44000000000017</v>
      </c>
      <c r="P10" s="223">
        <f t="shared" si="6"/>
        <v>966.44000000000017</v>
      </c>
      <c r="Q10" s="223">
        <f t="shared" si="6"/>
        <v>1681.34</v>
      </c>
      <c r="R10" s="223">
        <f t="shared" si="6"/>
        <v>2220.5400000000004</v>
      </c>
      <c r="S10" s="223">
        <f t="shared" si="6"/>
        <v>2220.5400000000004</v>
      </c>
      <c r="T10" s="223">
        <f t="shared" si="6"/>
        <v>2320.5400000000004</v>
      </c>
      <c r="U10" s="223">
        <f t="shared" si="6"/>
        <v>2320.5400000000004</v>
      </c>
      <c r="V10" s="223">
        <f t="shared" si="6"/>
        <v>3712.5400000000004</v>
      </c>
      <c r="W10" s="223">
        <f t="shared" si="6"/>
        <v>3712.5400000000004</v>
      </c>
      <c r="X10" s="223">
        <f t="shared" si="6"/>
        <v>3712.5400000000004</v>
      </c>
      <c r="Y10" s="223">
        <f t="shared" si="6"/>
        <v>3712.5400000000004</v>
      </c>
      <c r="Z10" s="223">
        <f t="shared" si="6"/>
        <v>8214.5400000000009</v>
      </c>
      <c r="AA10" s="223">
        <f t="shared" si="6"/>
        <v>10370.540000000001</v>
      </c>
    </row>
    <row r="11" spans="2:29" x14ac:dyDescent="0.3">
      <c r="B11" s="213"/>
      <c r="C11" s="220"/>
      <c r="D11" s="224" t="s">
        <v>111</v>
      </c>
      <c r="E11" s="228"/>
      <c r="F11" s="228"/>
      <c r="G11" s="229"/>
      <c r="H11" s="229"/>
      <c r="I11" s="229"/>
      <c r="J11" s="229"/>
      <c r="K11" s="229"/>
      <c r="L11" s="229"/>
      <c r="M11" s="229"/>
      <c r="N11" s="227">
        <f>+N10/N7</f>
        <v>0.32302425161407233</v>
      </c>
      <c r="O11" s="227">
        <f t="shared" ref="O11:AA11" si="7">+O10/O7</f>
        <v>0.35966407779251131</v>
      </c>
      <c r="P11" s="227">
        <f t="shared" si="7"/>
        <v>0.40501554786311184</v>
      </c>
      <c r="Q11" s="227">
        <f t="shared" si="7"/>
        <v>0.5421788538186697</v>
      </c>
      <c r="R11" s="227">
        <f t="shared" si="7"/>
        <v>0.60999153911237614</v>
      </c>
      <c r="S11" s="227">
        <f t="shared" si="7"/>
        <v>0.60999153911237614</v>
      </c>
      <c r="T11" s="227">
        <f t="shared" si="7"/>
        <v>0.62041879217598694</v>
      </c>
      <c r="U11" s="227">
        <f t="shared" si="7"/>
        <v>0.62041879217598694</v>
      </c>
      <c r="V11" s="227">
        <f t="shared" si="7"/>
        <v>0.72337050979291861</v>
      </c>
      <c r="W11" s="227">
        <f t="shared" si="7"/>
        <v>0.72337050979291861</v>
      </c>
      <c r="X11" s="227">
        <f t="shared" si="7"/>
        <v>0.72337050979291861</v>
      </c>
      <c r="Y11" s="227">
        <f t="shared" si="7"/>
        <v>0.72337050979291861</v>
      </c>
      <c r="Z11" s="227">
        <f t="shared" si="7"/>
        <v>0.85263662671211549</v>
      </c>
      <c r="AA11" s="227">
        <f t="shared" si="7"/>
        <v>0.87958386060381943</v>
      </c>
      <c r="AB11" s="230">
        <v>0.79</v>
      </c>
    </row>
    <row r="12" spans="2:29" x14ac:dyDescent="0.3">
      <c r="B12" s="231"/>
      <c r="C12" s="220"/>
      <c r="D12" s="232" t="s">
        <v>112</v>
      </c>
      <c r="E12" s="222"/>
      <c r="F12" s="233"/>
      <c r="G12" s="223">
        <f t="shared" ref="G12:L12" si="8">+H12-H27</f>
        <v>482.2700000000001</v>
      </c>
      <c r="H12" s="223">
        <f t="shared" si="8"/>
        <v>482.2700000000001</v>
      </c>
      <c r="I12" s="223">
        <f t="shared" si="8"/>
        <v>482.2700000000001</v>
      </c>
      <c r="J12" s="223">
        <f t="shared" si="8"/>
        <v>482.2700000000001</v>
      </c>
      <c r="K12" s="223">
        <f t="shared" si="8"/>
        <v>482.2700000000001</v>
      </c>
      <c r="L12" s="223">
        <f t="shared" si="8"/>
        <v>489.87000000000012</v>
      </c>
      <c r="M12" s="223">
        <f>+N12-N27</f>
        <v>489.87000000000012</v>
      </c>
      <c r="N12" s="223">
        <f>[16]OM_EF_2017!D90</f>
        <v>609.87000000000012</v>
      </c>
      <c r="O12" s="223">
        <f>+N12+O27</f>
        <v>664.87000000000012</v>
      </c>
      <c r="P12" s="223">
        <f t="shared" ref="P12:AA12" si="9">+O12+P27</f>
        <v>733.87000000000012</v>
      </c>
      <c r="Q12" s="223">
        <f t="shared" si="9"/>
        <v>1280.77</v>
      </c>
      <c r="R12" s="223">
        <f t="shared" si="9"/>
        <v>1774.97</v>
      </c>
      <c r="S12" s="223">
        <f t="shared" si="9"/>
        <v>1774.97</v>
      </c>
      <c r="T12" s="223">
        <f t="shared" si="9"/>
        <v>1774.97</v>
      </c>
      <c r="U12" s="223">
        <f t="shared" si="9"/>
        <v>1774.97</v>
      </c>
      <c r="V12" s="223">
        <f t="shared" si="9"/>
        <v>3166.9700000000003</v>
      </c>
      <c r="W12" s="223">
        <f t="shared" si="9"/>
        <v>3166.9700000000003</v>
      </c>
      <c r="X12" s="223">
        <f t="shared" si="9"/>
        <v>3166.9700000000003</v>
      </c>
      <c r="Y12" s="223">
        <f t="shared" si="9"/>
        <v>3166.9700000000003</v>
      </c>
      <c r="Z12" s="223">
        <f t="shared" si="9"/>
        <v>7668.97</v>
      </c>
      <c r="AA12" s="223">
        <f t="shared" si="9"/>
        <v>9348.9700000000012</v>
      </c>
    </row>
    <row r="13" spans="2:29" x14ac:dyDescent="0.3">
      <c r="B13" s="231"/>
      <c r="C13" s="220"/>
      <c r="D13" s="232" t="s">
        <v>113</v>
      </c>
      <c r="E13" s="222"/>
      <c r="F13" s="233"/>
      <c r="G13" s="234"/>
      <c r="H13" s="234"/>
      <c r="I13" s="234"/>
      <c r="J13" s="234"/>
      <c r="K13" s="234"/>
      <c r="L13" s="234"/>
      <c r="M13" s="234"/>
      <c r="N13" s="235">
        <f>+N12/N10</f>
        <v>0.90025684931506844</v>
      </c>
      <c r="O13" s="235">
        <f t="shared" ref="O13:AA13" si="10">+O12/O10</f>
        <v>0.8337555176565008</v>
      </c>
      <c r="P13" s="235">
        <f t="shared" si="10"/>
        <v>0.75935391747030334</v>
      </c>
      <c r="Q13" s="235">
        <f t="shared" si="10"/>
        <v>0.76175550453804708</v>
      </c>
      <c r="R13" s="235">
        <f t="shared" si="10"/>
        <v>0.7993416015924053</v>
      </c>
      <c r="S13" s="235">
        <f t="shared" si="10"/>
        <v>0.7993416015924053</v>
      </c>
      <c r="T13" s="235">
        <f t="shared" si="10"/>
        <v>0.76489523990105734</v>
      </c>
      <c r="U13" s="235">
        <f t="shared" si="10"/>
        <v>0.76489523990105734</v>
      </c>
      <c r="V13" s="235">
        <f t="shared" si="10"/>
        <v>0.853046701180324</v>
      </c>
      <c r="W13" s="235">
        <f t="shared" si="10"/>
        <v>0.853046701180324</v>
      </c>
      <c r="X13" s="235">
        <f t="shared" si="10"/>
        <v>0.853046701180324</v>
      </c>
      <c r="Y13" s="235">
        <f t="shared" si="10"/>
        <v>0.853046701180324</v>
      </c>
      <c r="Z13" s="235">
        <f t="shared" si="10"/>
        <v>0.93358483859108354</v>
      </c>
      <c r="AA13" s="235">
        <f t="shared" si="10"/>
        <v>0.90149307557754954</v>
      </c>
    </row>
    <row r="14" spans="2:29" x14ac:dyDescent="0.3">
      <c r="B14" s="231"/>
      <c r="C14" s="220"/>
      <c r="D14" s="232" t="s">
        <v>114</v>
      </c>
      <c r="E14" s="222"/>
      <c r="F14" s="233"/>
      <c r="G14" s="236">
        <f t="shared" ref="G14:L14" si="11">+H14-H28</f>
        <v>0</v>
      </c>
      <c r="H14" s="236">
        <f t="shared" si="11"/>
        <v>0</v>
      </c>
      <c r="I14" s="236">
        <f t="shared" si="11"/>
        <v>0</v>
      </c>
      <c r="J14" s="236">
        <f t="shared" si="11"/>
        <v>3</v>
      </c>
      <c r="K14" s="236">
        <f t="shared" si="11"/>
        <v>3</v>
      </c>
      <c r="L14" s="236">
        <f t="shared" si="11"/>
        <v>3</v>
      </c>
      <c r="M14" s="236">
        <f>+N14-N28</f>
        <v>27</v>
      </c>
      <c r="N14" s="223">
        <f>[16]OM_EF_2017!D170</f>
        <v>27</v>
      </c>
      <c r="O14" s="223">
        <f>+N14+O28</f>
        <v>27</v>
      </c>
      <c r="P14" s="223">
        <f t="shared" ref="P14:AA14" si="12">+O14+P28</f>
        <v>27</v>
      </c>
      <c r="Q14" s="223">
        <f t="shared" si="12"/>
        <v>135</v>
      </c>
      <c r="R14" s="223">
        <f t="shared" si="12"/>
        <v>180</v>
      </c>
      <c r="S14" s="223">
        <f t="shared" si="12"/>
        <v>180</v>
      </c>
      <c r="T14" s="223">
        <f t="shared" si="12"/>
        <v>180</v>
      </c>
      <c r="U14" s="223">
        <f t="shared" si="12"/>
        <v>180</v>
      </c>
      <c r="V14" s="223">
        <f t="shared" si="12"/>
        <v>180</v>
      </c>
      <c r="W14" s="223">
        <f t="shared" si="12"/>
        <v>180</v>
      </c>
      <c r="X14" s="223">
        <f t="shared" si="12"/>
        <v>180</v>
      </c>
      <c r="Y14" s="223">
        <f t="shared" si="12"/>
        <v>180</v>
      </c>
      <c r="Z14" s="223">
        <f t="shared" si="12"/>
        <v>180</v>
      </c>
      <c r="AA14" s="223">
        <f t="shared" si="12"/>
        <v>456</v>
      </c>
    </row>
    <row r="15" spans="2:29" x14ac:dyDescent="0.3">
      <c r="B15" s="231"/>
      <c r="C15" s="237"/>
      <c r="D15" s="232" t="s">
        <v>115</v>
      </c>
      <c r="E15" s="238"/>
      <c r="F15" s="239"/>
      <c r="G15" s="235"/>
      <c r="H15" s="235"/>
      <c r="I15" s="235"/>
      <c r="J15" s="235"/>
      <c r="K15" s="235"/>
      <c r="L15" s="235"/>
      <c r="M15" s="235"/>
      <c r="N15" s="235">
        <f>+N14/N10</f>
        <v>3.9855928200283407E-2</v>
      </c>
      <c r="O15" s="235">
        <f t="shared" ref="O15:AA15" si="13">+O14/O10</f>
        <v>3.3858346709470299E-2</v>
      </c>
      <c r="P15" s="235">
        <f t="shared" si="13"/>
        <v>2.7937585364844166E-2</v>
      </c>
      <c r="Q15" s="235">
        <f t="shared" si="13"/>
        <v>8.0293099551548175E-2</v>
      </c>
      <c r="R15" s="235">
        <f t="shared" si="13"/>
        <v>8.1061363452133245E-2</v>
      </c>
      <c r="S15" s="235">
        <f t="shared" si="13"/>
        <v>8.1061363452133245E-2</v>
      </c>
      <c r="T15" s="235">
        <f t="shared" si="13"/>
        <v>7.7568152240426777E-2</v>
      </c>
      <c r="U15" s="235">
        <f t="shared" si="13"/>
        <v>7.7568152240426777E-2</v>
      </c>
      <c r="V15" s="235">
        <f t="shared" si="13"/>
        <v>4.8484326094803014E-2</v>
      </c>
      <c r="W15" s="235">
        <f t="shared" si="13"/>
        <v>4.8484326094803014E-2</v>
      </c>
      <c r="X15" s="235">
        <f t="shared" si="13"/>
        <v>4.8484326094803014E-2</v>
      </c>
      <c r="Y15" s="235">
        <f t="shared" si="13"/>
        <v>4.8484326094803014E-2</v>
      </c>
      <c r="Z15" s="235">
        <f t="shared" si="13"/>
        <v>2.1912365147652817E-2</v>
      </c>
      <c r="AA15" s="235">
        <f t="shared" si="13"/>
        <v>4.3970709336254424E-2</v>
      </c>
    </row>
    <row r="16" spans="2:29" x14ac:dyDescent="0.3">
      <c r="B16" s="231"/>
      <c r="C16" s="220"/>
      <c r="D16" s="232" t="s">
        <v>116</v>
      </c>
      <c r="E16" s="222"/>
      <c r="F16" s="233"/>
      <c r="G16" s="240">
        <f t="shared" ref="G16:L16" si="14">+H16-H29</f>
        <v>0</v>
      </c>
      <c r="H16" s="240">
        <f t="shared" si="14"/>
        <v>0</v>
      </c>
      <c r="I16" s="240">
        <f t="shared" si="14"/>
        <v>0</v>
      </c>
      <c r="J16" s="240">
        <f t="shared" si="14"/>
        <v>0</v>
      </c>
      <c r="K16" s="240">
        <f t="shared" si="14"/>
        <v>0</v>
      </c>
      <c r="L16" s="240">
        <f t="shared" si="14"/>
        <v>0</v>
      </c>
      <c r="M16" s="240">
        <f>+N16-N29</f>
        <v>0</v>
      </c>
      <c r="N16" s="223">
        <v>0</v>
      </c>
      <c r="O16" s="223">
        <f>+N16+O29</f>
        <v>65</v>
      </c>
      <c r="P16" s="223">
        <f t="shared" ref="P16:AA16" si="15">+O16+P29</f>
        <v>165</v>
      </c>
      <c r="Q16" s="223">
        <f t="shared" si="15"/>
        <v>170</v>
      </c>
      <c r="R16" s="223">
        <f t="shared" si="15"/>
        <v>170</v>
      </c>
      <c r="S16" s="223">
        <f t="shared" si="15"/>
        <v>170</v>
      </c>
      <c r="T16" s="223">
        <f t="shared" si="15"/>
        <v>170</v>
      </c>
      <c r="U16" s="223">
        <f t="shared" si="15"/>
        <v>170</v>
      </c>
      <c r="V16" s="223">
        <f t="shared" si="15"/>
        <v>170</v>
      </c>
      <c r="W16" s="223">
        <f t="shared" si="15"/>
        <v>170</v>
      </c>
      <c r="X16" s="223">
        <f t="shared" si="15"/>
        <v>170</v>
      </c>
      <c r="Y16" s="223">
        <f t="shared" si="15"/>
        <v>170</v>
      </c>
      <c r="Z16" s="223">
        <f t="shared" si="15"/>
        <v>170</v>
      </c>
      <c r="AA16" s="223">
        <f t="shared" si="15"/>
        <v>370</v>
      </c>
    </row>
    <row r="17" spans="2:27" x14ac:dyDescent="0.3">
      <c r="B17" s="231"/>
      <c r="C17" s="237"/>
      <c r="D17" s="232" t="s">
        <v>117</v>
      </c>
      <c r="E17" s="238"/>
      <c r="F17" s="239"/>
      <c r="G17" s="235"/>
      <c r="H17" s="235"/>
      <c r="I17" s="235"/>
      <c r="J17" s="235"/>
      <c r="K17" s="235"/>
      <c r="L17" s="235"/>
      <c r="M17" s="235"/>
      <c r="N17" s="235">
        <f>+N16/N10</f>
        <v>0</v>
      </c>
      <c r="O17" s="235">
        <f t="shared" ref="O17:AA17" si="16">+O16/O10</f>
        <v>8.1510834670947011E-2</v>
      </c>
      <c r="P17" s="235">
        <f t="shared" si="16"/>
        <v>0.17072968834071434</v>
      </c>
      <c r="Q17" s="235">
        <f t="shared" si="16"/>
        <v>0.10110982906491252</v>
      </c>
      <c r="R17" s="235">
        <f t="shared" si="16"/>
        <v>7.655795437145918E-2</v>
      </c>
      <c r="S17" s="235">
        <f t="shared" si="16"/>
        <v>7.655795437145918E-2</v>
      </c>
      <c r="T17" s="235">
        <f t="shared" si="16"/>
        <v>7.3258810449291958E-2</v>
      </c>
      <c r="U17" s="235">
        <f t="shared" si="16"/>
        <v>7.3258810449291958E-2</v>
      </c>
      <c r="V17" s="235">
        <f t="shared" si="16"/>
        <v>4.5790752422869514E-2</v>
      </c>
      <c r="W17" s="235">
        <f t="shared" si="16"/>
        <v>4.5790752422869514E-2</v>
      </c>
      <c r="X17" s="235">
        <f t="shared" si="16"/>
        <v>4.5790752422869514E-2</v>
      </c>
      <c r="Y17" s="235">
        <f t="shared" si="16"/>
        <v>4.5790752422869514E-2</v>
      </c>
      <c r="Z17" s="235">
        <f t="shared" si="16"/>
        <v>2.0695011528338771E-2</v>
      </c>
      <c r="AA17" s="235">
        <f t="shared" si="16"/>
        <v>3.5677987838627495E-2</v>
      </c>
    </row>
    <row r="18" spans="2:27" x14ac:dyDescent="0.3">
      <c r="B18" s="231"/>
      <c r="C18" s="220"/>
      <c r="D18" s="232" t="s">
        <v>118</v>
      </c>
      <c r="E18" s="222"/>
      <c r="F18" s="233"/>
      <c r="G18" s="240">
        <f t="shared" ref="G18" si="17">+H18-G30</f>
        <v>0</v>
      </c>
      <c r="H18" s="240">
        <f t="shared" ref="H18:L18" si="18">+I18-I30</f>
        <v>0</v>
      </c>
      <c r="I18" s="240">
        <f t="shared" si="18"/>
        <v>0</v>
      </c>
      <c r="J18" s="240">
        <f t="shared" si="18"/>
        <v>0</v>
      </c>
      <c r="K18" s="240">
        <f t="shared" si="18"/>
        <v>0</v>
      </c>
      <c r="L18" s="240">
        <f t="shared" si="18"/>
        <v>0</v>
      </c>
      <c r="M18" s="240">
        <f>+N18-N30</f>
        <v>0</v>
      </c>
      <c r="N18" s="223">
        <v>0</v>
      </c>
      <c r="O18" s="223">
        <f>+N18+O30</f>
        <v>0</v>
      </c>
      <c r="P18" s="223">
        <f t="shared" ref="P18:AA18" si="19">+O18+P30</f>
        <v>0</v>
      </c>
      <c r="Q18" s="223">
        <f t="shared" si="19"/>
        <v>5</v>
      </c>
      <c r="R18" s="223">
        <f t="shared" si="19"/>
        <v>5</v>
      </c>
      <c r="S18" s="223">
        <f t="shared" si="19"/>
        <v>5</v>
      </c>
      <c r="T18" s="223">
        <f t="shared" si="19"/>
        <v>105</v>
      </c>
      <c r="U18" s="223">
        <f t="shared" si="19"/>
        <v>105</v>
      </c>
      <c r="V18" s="223">
        <f t="shared" si="19"/>
        <v>105</v>
      </c>
      <c r="W18" s="223">
        <f t="shared" si="19"/>
        <v>105</v>
      </c>
      <c r="X18" s="223">
        <f t="shared" si="19"/>
        <v>105</v>
      </c>
      <c r="Y18" s="223">
        <f t="shared" si="19"/>
        <v>105</v>
      </c>
      <c r="Z18" s="223">
        <f t="shared" si="19"/>
        <v>105</v>
      </c>
      <c r="AA18" s="223">
        <f t="shared" si="19"/>
        <v>105</v>
      </c>
    </row>
    <row r="19" spans="2:27" x14ac:dyDescent="0.3">
      <c r="B19" s="231"/>
      <c r="C19" s="237"/>
      <c r="D19" s="232" t="s">
        <v>119</v>
      </c>
      <c r="E19" s="238"/>
      <c r="F19" s="239"/>
      <c r="G19" s="241"/>
      <c r="H19" s="241"/>
      <c r="I19" s="241"/>
      <c r="J19" s="241"/>
      <c r="K19" s="241"/>
      <c r="L19" s="241"/>
      <c r="M19" s="241"/>
      <c r="N19" s="241">
        <f>+N18/N10</f>
        <v>0</v>
      </c>
      <c r="O19" s="241">
        <f t="shared" ref="O19:AA19" si="20">+O18/O10</f>
        <v>0</v>
      </c>
      <c r="P19" s="241">
        <f t="shared" si="20"/>
        <v>0</v>
      </c>
      <c r="Q19" s="241">
        <f t="shared" si="20"/>
        <v>2.9738185019091918E-3</v>
      </c>
      <c r="R19" s="235">
        <f t="shared" si="20"/>
        <v>2.2517045403370349E-3</v>
      </c>
      <c r="S19" s="235">
        <f t="shared" si="20"/>
        <v>2.2517045403370349E-3</v>
      </c>
      <c r="T19" s="235">
        <f t="shared" si="20"/>
        <v>4.5248088806915623E-2</v>
      </c>
      <c r="U19" s="235">
        <f t="shared" si="20"/>
        <v>4.5248088806915623E-2</v>
      </c>
      <c r="V19" s="235">
        <f t="shared" si="20"/>
        <v>2.8282523555301756E-2</v>
      </c>
      <c r="W19" s="235">
        <f t="shared" si="20"/>
        <v>2.8282523555301756E-2</v>
      </c>
      <c r="X19" s="235">
        <f t="shared" si="20"/>
        <v>2.8282523555301756E-2</v>
      </c>
      <c r="Y19" s="235">
        <f t="shared" si="20"/>
        <v>2.8282523555301756E-2</v>
      </c>
      <c r="Z19" s="235">
        <f t="shared" si="20"/>
        <v>1.2782213002797476E-2</v>
      </c>
      <c r="AA19" s="235">
        <f t="shared" si="20"/>
        <v>1.0124834386637532E-2</v>
      </c>
    </row>
    <row r="20" spans="2:27" x14ac:dyDescent="0.3">
      <c r="B20" s="231"/>
      <c r="C20" s="220"/>
      <c r="D20" s="232" t="s">
        <v>120</v>
      </c>
      <c r="E20" s="222"/>
      <c r="F20" s="233"/>
      <c r="G20" s="236">
        <f t="shared" ref="G20:L20" si="21">+H20-H31</f>
        <v>21</v>
      </c>
      <c r="H20" s="236">
        <f t="shared" si="21"/>
        <v>21</v>
      </c>
      <c r="I20" s="236">
        <f t="shared" si="21"/>
        <v>21</v>
      </c>
      <c r="J20" s="236">
        <f t="shared" si="21"/>
        <v>21</v>
      </c>
      <c r="K20" s="236">
        <f t="shared" si="21"/>
        <v>35.57</v>
      </c>
      <c r="L20" s="236">
        <f t="shared" si="21"/>
        <v>35.57</v>
      </c>
      <c r="M20" s="236">
        <f>+N20-N31</f>
        <v>35.57</v>
      </c>
      <c r="N20" s="223">
        <f>[16]OM_EF_2017!D162</f>
        <v>40.57</v>
      </c>
      <c r="O20" s="223">
        <f>+N20+O31</f>
        <v>40.57</v>
      </c>
      <c r="P20" s="223">
        <f t="shared" ref="P20:AA20" si="22">+O20+P31</f>
        <v>40.57</v>
      </c>
      <c r="Q20" s="223">
        <f t="shared" si="22"/>
        <v>90.57</v>
      </c>
      <c r="R20" s="223">
        <f t="shared" si="22"/>
        <v>90.57</v>
      </c>
      <c r="S20" s="223">
        <f t="shared" si="22"/>
        <v>90.57</v>
      </c>
      <c r="T20" s="223">
        <f t="shared" si="22"/>
        <v>90.57</v>
      </c>
      <c r="U20" s="223">
        <f t="shared" si="22"/>
        <v>90.57</v>
      </c>
      <c r="V20" s="223">
        <f t="shared" si="22"/>
        <v>90.57</v>
      </c>
      <c r="W20" s="223">
        <f t="shared" si="22"/>
        <v>90.57</v>
      </c>
      <c r="X20" s="223">
        <f t="shared" si="22"/>
        <v>90.57</v>
      </c>
      <c r="Y20" s="223">
        <f t="shared" si="22"/>
        <v>90.57</v>
      </c>
      <c r="Z20" s="223">
        <f t="shared" si="22"/>
        <v>90.57</v>
      </c>
      <c r="AA20" s="223">
        <f t="shared" si="22"/>
        <v>90.57</v>
      </c>
    </row>
    <row r="21" spans="2:27" x14ac:dyDescent="0.3">
      <c r="B21" s="231"/>
      <c r="C21" s="237"/>
      <c r="D21" s="232" t="s">
        <v>121</v>
      </c>
      <c r="E21" s="238"/>
      <c r="F21" s="239"/>
      <c r="G21" s="235"/>
      <c r="H21" s="235"/>
      <c r="I21" s="235"/>
      <c r="J21" s="235"/>
      <c r="K21" s="235"/>
      <c r="L21" s="235"/>
      <c r="M21" s="235"/>
      <c r="N21" s="235">
        <f>+N20/N10</f>
        <v>5.9887222484648076E-2</v>
      </c>
      <c r="O21" s="235">
        <f t="shared" ref="O21:AA21" si="23">+O20/O10</f>
        <v>5.0875300963081849E-2</v>
      </c>
      <c r="P21" s="235">
        <f t="shared" si="23"/>
        <v>4.197880882413807E-2</v>
      </c>
      <c r="Q21" s="235">
        <f t="shared" si="23"/>
        <v>5.3867748343583093E-2</v>
      </c>
      <c r="R21" s="235">
        <f t="shared" si="23"/>
        <v>4.0787376043665044E-2</v>
      </c>
      <c r="S21" s="235">
        <f t="shared" si="23"/>
        <v>4.0787376043665044E-2</v>
      </c>
      <c r="T21" s="235">
        <f t="shared" si="23"/>
        <v>3.9029708602308075E-2</v>
      </c>
      <c r="U21" s="235">
        <f t="shared" si="23"/>
        <v>3.9029708602308075E-2</v>
      </c>
      <c r="V21" s="235">
        <f t="shared" si="23"/>
        <v>2.4395696746701716E-2</v>
      </c>
      <c r="W21" s="235">
        <f t="shared" si="23"/>
        <v>2.4395696746701716E-2</v>
      </c>
      <c r="X21" s="235">
        <f t="shared" si="23"/>
        <v>2.4395696746701716E-2</v>
      </c>
      <c r="Y21" s="235">
        <f t="shared" si="23"/>
        <v>2.4395696746701716E-2</v>
      </c>
      <c r="Z21" s="235">
        <f t="shared" si="23"/>
        <v>1.1025571730127309E-2</v>
      </c>
      <c r="AA21" s="235">
        <f t="shared" si="23"/>
        <v>8.7333928609310586E-3</v>
      </c>
    </row>
    <row r="23" spans="2:27" x14ac:dyDescent="0.3">
      <c r="B23" s="208"/>
      <c r="C23" s="209"/>
      <c r="D23" s="242" t="s">
        <v>122</v>
      </c>
      <c r="E23" s="243"/>
      <c r="F23" s="244"/>
      <c r="G23" s="212">
        <v>2010</v>
      </c>
      <c r="H23" s="212">
        <v>2011</v>
      </c>
      <c r="I23" s="212">
        <v>2012</v>
      </c>
      <c r="J23" s="212">
        <v>2013</v>
      </c>
      <c r="K23" s="212">
        <v>2014</v>
      </c>
      <c r="L23" s="212">
        <v>2015</v>
      </c>
      <c r="M23" s="212">
        <v>2016</v>
      </c>
      <c r="N23" s="212">
        <v>2017</v>
      </c>
      <c r="O23" s="212">
        <v>2018</v>
      </c>
      <c r="P23" s="212">
        <v>2019</v>
      </c>
      <c r="Q23" s="212">
        <v>2020</v>
      </c>
      <c r="R23" s="212">
        <v>2021</v>
      </c>
      <c r="S23" s="212">
        <v>2022</v>
      </c>
      <c r="T23" s="212">
        <v>2023</v>
      </c>
      <c r="U23" s="212">
        <v>2024</v>
      </c>
      <c r="V23" s="212">
        <v>2025</v>
      </c>
      <c r="W23" s="212">
        <v>2026</v>
      </c>
      <c r="X23" s="212">
        <v>2027</v>
      </c>
      <c r="Y23" s="212">
        <v>2028</v>
      </c>
      <c r="Z23" s="212">
        <v>2029</v>
      </c>
      <c r="AA23" s="212">
        <v>2030</v>
      </c>
    </row>
    <row r="24" spans="2:27" s="217" customFormat="1" x14ac:dyDescent="0.3">
      <c r="B24" s="213"/>
      <c r="C24" s="209"/>
      <c r="D24" s="245" t="s">
        <v>123</v>
      </c>
      <c r="E24" s="246"/>
      <c r="F24" s="247"/>
      <c r="G24" s="216">
        <f t="shared" ref="G24:M24" si="24">+G25+G26</f>
        <v>96</v>
      </c>
      <c r="H24" s="216">
        <f t="shared" si="24"/>
        <v>0</v>
      </c>
      <c r="I24" s="216">
        <f t="shared" si="24"/>
        <v>155.82000000000002</v>
      </c>
      <c r="J24" s="216">
        <f t="shared" si="24"/>
        <v>35.4</v>
      </c>
      <c r="K24" s="216">
        <f t="shared" si="24"/>
        <v>238.95</v>
      </c>
      <c r="L24" s="216">
        <f t="shared" si="24"/>
        <v>229.05999999999997</v>
      </c>
      <c r="M24" s="216">
        <f t="shared" si="24"/>
        <v>24</v>
      </c>
      <c r="N24" s="216">
        <f>+N25+N26</f>
        <v>125</v>
      </c>
      <c r="O24" s="216">
        <f t="shared" ref="O24:AA24" si="25">+O25+O26</f>
        <v>120</v>
      </c>
      <c r="P24" s="216">
        <f t="shared" si="25"/>
        <v>169</v>
      </c>
      <c r="Q24" s="216">
        <f t="shared" si="25"/>
        <v>714.9</v>
      </c>
      <c r="R24" s="216">
        <f t="shared" si="25"/>
        <v>539.20000000000005</v>
      </c>
      <c r="S24" s="216">
        <f t="shared" si="25"/>
        <v>0</v>
      </c>
      <c r="T24" s="216">
        <f t="shared" si="25"/>
        <v>100</v>
      </c>
      <c r="U24" s="216">
        <f t="shared" si="25"/>
        <v>0</v>
      </c>
      <c r="V24" s="216">
        <f t="shared" si="25"/>
        <v>1392</v>
      </c>
      <c r="W24" s="216">
        <f t="shared" si="25"/>
        <v>0</v>
      </c>
      <c r="X24" s="216">
        <f t="shared" si="25"/>
        <v>0</v>
      </c>
      <c r="Y24" s="216">
        <f t="shared" si="25"/>
        <v>0</v>
      </c>
      <c r="Z24" s="216">
        <f t="shared" si="25"/>
        <v>4502</v>
      </c>
      <c r="AA24" s="216">
        <f t="shared" si="25"/>
        <v>2156</v>
      </c>
    </row>
    <row r="25" spans="2:27" s="217" customFormat="1" x14ac:dyDescent="0.3">
      <c r="B25" s="219"/>
      <c r="C25" s="220"/>
      <c r="D25" s="248" t="s">
        <v>108</v>
      </c>
      <c r="E25" s="249"/>
      <c r="F25" s="233"/>
      <c r="G25" s="223">
        <f t="shared" ref="G25:N25" si="26">+SUMIF($C$191:$C$258,G23,$D$191:$D$258)</f>
        <v>96</v>
      </c>
      <c r="H25" s="223">
        <f t="shared" si="26"/>
        <v>0</v>
      </c>
      <c r="I25" s="223">
        <f t="shared" si="26"/>
        <v>155.82000000000002</v>
      </c>
      <c r="J25" s="223">
        <f t="shared" si="26"/>
        <v>32.4</v>
      </c>
      <c r="K25" s="223">
        <f t="shared" si="26"/>
        <v>224.38</v>
      </c>
      <c r="L25" s="223">
        <f t="shared" si="26"/>
        <v>221.45999999999998</v>
      </c>
      <c r="M25" s="223">
        <f t="shared" si="26"/>
        <v>0</v>
      </c>
      <c r="N25" s="223">
        <f t="shared" si="26"/>
        <v>0</v>
      </c>
      <c r="O25" s="223">
        <f t="shared" ref="O25:AA25" si="27">+SUMIF($C$55:$C$78,O23,$D$55:$D$78)</f>
        <v>0</v>
      </c>
      <c r="P25" s="223">
        <f t="shared" si="27"/>
        <v>0</v>
      </c>
      <c r="Q25" s="223">
        <f t="shared" si="27"/>
        <v>0</v>
      </c>
      <c r="R25" s="223">
        <f t="shared" si="27"/>
        <v>0</v>
      </c>
      <c r="S25" s="223">
        <f t="shared" si="27"/>
        <v>0</v>
      </c>
      <c r="T25" s="223">
        <f t="shared" si="27"/>
        <v>0</v>
      </c>
      <c r="U25" s="223">
        <f t="shared" si="27"/>
        <v>0</v>
      </c>
      <c r="V25" s="223">
        <f t="shared" si="27"/>
        <v>0</v>
      </c>
      <c r="W25" s="223">
        <f t="shared" si="27"/>
        <v>0</v>
      </c>
      <c r="X25" s="223">
        <f t="shared" si="27"/>
        <v>0</v>
      </c>
      <c r="Y25" s="223">
        <f t="shared" si="27"/>
        <v>0</v>
      </c>
      <c r="Z25" s="223">
        <f t="shared" si="27"/>
        <v>0</v>
      </c>
      <c r="AA25" s="223">
        <f t="shared" si="27"/>
        <v>0</v>
      </c>
    </row>
    <row r="26" spans="2:27" s="217" customFormat="1" x14ac:dyDescent="0.3">
      <c r="B26" s="219"/>
      <c r="C26" s="220"/>
      <c r="D26" s="248" t="s">
        <v>124</v>
      </c>
      <c r="E26" s="249"/>
      <c r="F26" s="233"/>
      <c r="G26" s="223">
        <f t="shared" ref="G26:M26" si="28">+G27+G28+G29+G30+G31</f>
        <v>0</v>
      </c>
      <c r="H26" s="223">
        <f t="shared" si="28"/>
        <v>0</v>
      </c>
      <c r="I26" s="223">
        <f t="shared" si="28"/>
        <v>0</v>
      </c>
      <c r="J26" s="223">
        <f t="shared" si="28"/>
        <v>3</v>
      </c>
      <c r="K26" s="223">
        <f t="shared" si="28"/>
        <v>14.57</v>
      </c>
      <c r="L26" s="223">
        <f t="shared" si="28"/>
        <v>7.6</v>
      </c>
      <c r="M26" s="223">
        <f t="shared" si="28"/>
        <v>24</v>
      </c>
      <c r="N26" s="223">
        <f>+N27+N28+N29+N30+N31</f>
        <v>125</v>
      </c>
      <c r="O26" s="223">
        <f t="shared" ref="O26:AA26" si="29">+O27+O28+O29+O30+O31</f>
        <v>120</v>
      </c>
      <c r="P26" s="223">
        <f t="shared" si="29"/>
        <v>169</v>
      </c>
      <c r="Q26" s="223">
        <f t="shared" si="29"/>
        <v>714.9</v>
      </c>
      <c r="R26" s="223">
        <f t="shared" si="29"/>
        <v>539.20000000000005</v>
      </c>
      <c r="S26" s="223">
        <f t="shared" si="29"/>
        <v>0</v>
      </c>
      <c r="T26" s="223">
        <f t="shared" si="29"/>
        <v>100</v>
      </c>
      <c r="U26" s="223">
        <f t="shared" si="29"/>
        <v>0</v>
      </c>
      <c r="V26" s="223">
        <f t="shared" si="29"/>
        <v>1392</v>
      </c>
      <c r="W26" s="223">
        <f t="shared" si="29"/>
        <v>0</v>
      </c>
      <c r="X26" s="223">
        <f t="shared" si="29"/>
        <v>0</v>
      </c>
      <c r="Y26" s="223">
        <f t="shared" si="29"/>
        <v>0</v>
      </c>
      <c r="Z26" s="223">
        <f t="shared" si="29"/>
        <v>4502</v>
      </c>
      <c r="AA26" s="223">
        <f t="shared" si="29"/>
        <v>2156</v>
      </c>
    </row>
    <row r="27" spans="2:27" x14ac:dyDescent="0.3">
      <c r="B27" s="231"/>
      <c r="C27" s="220"/>
      <c r="D27" s="250" t="s">
        <v>112</v>
      </c>
      <c r="E27" s="222"/>
      <c r="F27" s="233"/>
      <c r="G27" s="223">
        <f t="shared" ref="G27:N27" si="30">SUMIF($C$263:$C$331,G23,$D$263:$D$331)</f>
        <v>0</v>
      </c>
      <c r="H27" s="223">
        <f t="shared" si="30"/>
        <v>0</v>
      </c>
      <c r="I27" s="223">
        <f t="shared" si="30"/>
        <v>0</v>
      </c>
      <c r="J27" s="223">
        <f t="shared" si="30"/>
        <v>0</v>
      </c>
      <c r="K27" s="223">
        <f t="shared" si="30"/>
        <v>0</v>
      </c>
      <c r="L27" s="223">
        <f t="shared" si="30"/>
        <v>7.6</v>
      </c>
      <c r="M27" s="223">
        <f t="shared" si="30"/>
        <v>0</v>
      </c>
      <c r="N27" s="251">
        <f t="shared" si="30"/>
        <v>120</v>
      </c>
      <c r="O27" s="223">
        <f t="shared" ref="O27:AA27" si="31">+SUMIF($C$83:$C$127,O23,$D$83:$D$127)</f>
        <v>55</v>
      </c>
      <c r="P27" s="223">
        <f t="shared" si="31"/>
        <v>69</v>
      </c>
      <c r="Q27" s="223">
        <f t="shared" si="31"/>
        <v>546.9</v>
      </c>
      <c r="R27" s="223">
        <f t="shared" si="31"/>
        <v>494.2</v>
      </c>
      <c r="S27" s="223">
        <f t="shared" si="31"/>
        <v>0</v>
      </c>
      <c r="T27" s="223">
        <f t="shared" si="31"/>
        <v>0</v>
      </c>
      <c r="U27" s="223">
        <f t="shared" si="31"/>
        <v>0</v>
      </c>
      <c r="V27" s="223">
        <f t="shared" si="31"/>
        <v>1392</v>
      </c>
      <c r="W27" s="223">
        <f t="shared" si="31"/>
        <v>0</v>
      </c>
      <c r="X27" s="223">
        <f t="shared" si="31"/>
        <v>0</v>
      </c>
      <c r="Y27" s="223">
        <f t="shared" si="31"/>
        <v>0</v>
      </c>
      <c r="Z27" s="223">
        <f t="shared" si="31"/>
        <v>4502</v>
      </c>
      <c r="AA27" s="223">
        <f t="shared" si="31"/>
        <v>1680</v>
      </c>
    </row>
    <row r="28" spans="2:27" x14ac:dyDescent="0.3">
      <c r="B28" s="231"/>
      <c r="C28" s="220"/>
      <c r="D28" s="250" t="s">
        <v>114</v>
      </c>
      <c r="E28" s="222"/>
      <c r="F28" s="233"/>
      <c r="G28" s="223">
        <f t="shared" ref="G28:N28" si="32">+SUMIF($C$345:$C$347,G23,$D$345:$D$347)</f>
        <v>0</v>
      </c>
      <c r="H28" s="223">
        <f t="shared" si="32"/>
        <v>0</v>
      </c>
      <c r="I28" s="223">
        <f t="shared" si="32"/>
        <v>0</v>
      </c>
      <c r="J28" s="223">
        <f t="shared" si="32"/>
        <v>3</v>
      </c>
      <c r="K28" s="223">
        <f t="shared" si="32"/>
        <v>0</v>
      </c>
      <c r="L28" s="223">
        <f t="shared" si="32"/>
        <v>0</v>
      </c>
      <c r="M28" s="223">
        <f t="shared" si="32"/>
        <v>24</v>
      </c>
      <c r="N28" s="223">
        <f t="shared" si="32"/>
        <v>0</v>
      </c>
      <c r="O28" s="223">
        <f t="shared" ref="O28:AA28" si="33">+SUMIF($C$133:$C$147,O23,$D$133:$D$147)</f>
        <v>0</v>
      </c>
      <c r="P28" s="223">
        <f t="shared" si="33"/>
        <v>0</v>
      </c>
      <c r="Q28" s="223">
        <f t="shared" si="33"/>
        <v>108</v>
      </c>
      <c r="R28" s="223">
        <f t="shared" si="33"/>
        <v>45</v>
      </c>
      <c r="S28" s="223">
        <f t="shared" si="33"/>
        <v>0</v>
      </c>
      <c r="T28" s="223">
        <f t="shared" si="33"/>
        <v>0</v>
      </c>
      <c r="U28" s="223">
        <f t="shared" si="33"/>
        <v>0</v>
      </c>
      <c r="V28" s="223">
        <f t="shared" si="33"/>
        <v>0</v>
      </c>
      <c r="W28" s="223">
        <f t="shared" si="33"/>
        <v>0</v>
      </c>
      <c r="X28" s="223">
        <f t="shared" si="33"/>
        <v>0</v>
      </c>
      <c r="Y28" s="223">
        <f t="shared" si="33"/>
        <v>0</v>
      </c>
      <c r="Z28" s="223">
        <f t="shared" si="33"/>
        <v>0</v>
      </c>
      <c r="AA28" s="223">
        <f t="shared" si="33"/>
        <v>276</v>
      </c>
    </row>
    <row r="29" spans="2:27" x14ac:dyDescent="0.3">
      <c r="B29" s="231"/>
      <c r="C29" s="220"/>
      <c r="D29" s="250" t="s">
        <v>116</v>
      </c>
      <c r="E29" s="222"/>
      <c r="F29" s="233"/>
      <c r="G29" s="223">
        <v>0</v>
      </c>
      <c r="H29" s="223">
        <v>0</v>
      </c>
      <c r="I29" s="223">
        <v>0</v>
      </c>
      <c r="J29" s="223">
        <v>0</v>
      </c>
      <c r="K29" s="223">
        <v>0</v>
      </c>
      <c r="L29" s="223">
        <v>0</v>
      </c>
      <c r="M29" s="223">
        <v>0</v>
      </c>
      <c r="N29" s="223">
        <v>0</v>
      </c>
      <c r="O29" s="223">
        <f t="shared" ref="O29:AA29" si="34">+SUMIF($C$152:$C$165,O23,$D$152:$D$165)</f>
        <v>65</v>
      </c>
      <c r="P29" s="223">
        <f t="shared" si="34"/>
        <v>100</v>
      </c>
      <c r="Q29" s="223">
        <f t="shared" si="34"/>
        <v>5</v>
      </c>
      <c r="R29" s="223">
        <f t="shared" si="34"/>
        <v>0</v>
      </c>
      <c r="S29" s="223">
        <f t="shared" si="34"/>
        <v>0</v>
      </c>
      <c r="T29" s="223">
        <f t="shared" si="34"/>
        <v>0</v>
      </c>
      <c r="U29" s="223">
        <f t="shared" si="34"/>
        <v>0</v>
      </c>
      <c r="V29" s="223">
        <f t="shared" si="34"/>
        <v>0</v>
      </c>
      <c r="W29" s="223">
        <f t="shared" si="34"/>
        <v>0</v>
      </c>
      <c r="X29" s="223">
        <f t="shared" si="34"/>
        <v>0</v>
      </c>
      <c r="Y29" s="223">
        <f t="shared" si="34"/>
        <v>0</v>
      </c>
      <c r="Z29" s="223">
        <f t="shared" si="34"/>
        <v>0</v>
      </c>
      <c r="AA29" s="223">
        <f t="shared" si="34"/>
        <v>200</v>
      </c>
    </row>
    <row r="30" spans="2:27" x14ac:dyDescent="0.3">
      <c r="B30" s="231"/>
      <c r="C30" s="220"/>
      <c r="D30" s="248" t="s">
        <v>118</v>
      </c>
      <c r="E30" s="249"/>
      <c r="F30" s="233"/>
      <c r="G30" s="223">
        <v>0</v>
      </c>
      <c r="H30" s="223"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  <c r="N30" s="223">
        <f t="shared" ref="N30:AA30" si="35">+SUMIF($C$170:$C$173,N23,$D$170:$D$184)</f>
        <v>0</v>
      </c>
      <c r="O30" s="223">
        <f t="shared" si="35"/>
        <v>0</v>
      </c>
      <c r="P30" s="223">
        <f t="shared" si="35"/>
        <v>0</v>
      </c>
      <c r="Q30" s="223">
        <f t="shared" si="35"/>
        <v>5</v>
      </c>
      <c r="R30" s="223">
        <f t="shared" si="35"/>
        <v>0</v>
      </c>
      <c r="S30" s="223">
        <f t="shared" si="35"/>
        <v>0</v>
      </c>
      <c r="T30" s="223">
        <f t="shared" si="35"/>
        <v>100</v>
      </c>
      <c r="U30" s="223">
        <f t="shared" si="35"/>
        <v>0</v>
      </c>
      <c r="V30" s="223">
        <f t="shared" si="35"/>
        <v>0</v>
      </c>
      <c r="W30" s="223">
        <f t="shared" si="35"/>
        <v>0</v>
      </c>
      <c r="X30" s="223">
        <f t="shared" si="35"/>
        <v>0</v>
      </c>
      <c r="Y30" s="223">
        <f t="shared" si="35"/>
        <v>0</v>
      </c>
      <c r="Z30" s="223">
        <f t="shared" si="35"/>
        <v>0</v>
      </c>
      <c r="AA30" s="223">
        <f t="shared" si="35"/>
        <v>0</v>
      </c>
    </row>
    <row r="31" spans="2:27" x14ac:dyDescent="0.3">
      <c r="B31" s="231"/>
      <c r="C31" s="220"/>
      <c r="D31" s="248" t="s">
        <v>120</v>
      </c>
      <c r="E31" s="249"/>
      <c r="F31" s="233"/>
      <c r="G31" s="223">
        <f t="shared" ref="G31:N31" si="36">+SUMIF($C$336:$C$340,G23,$D$336:$D$340)</f>
        <v>0</v>
      </c>
      <c r="H31" s="223">
        <f t="shared" si="36"/>
        <v>0</v>
      </c>
      <c r="I31" s="223">
        <f t="shared" si="36"/>
        <v>0</v>
      </c>
      <c r="J31" s="223">
        <f t="shared" si="36"/>
        <v>0</v>
      </c>
      <c r="K31" s="223">
        <f t="shared" si="36"/>
        <v>14.57</v>
      </c>
      <c r="L31" s="223">
        <f t="shared" si="36"/>
        <v>0</v>
      </c>
      <c r="M31" s="223">
        <f t="shared" si="36"/>
        <v>0</v>
      </c>
      <c r="N31" s="223">
        <f t="shared" si="36"/>
        <v>5</v>
      </c>
      <c r="O31" s="223">
        <f t="shared" ref="O31:AA31" si="37">+SUMIF($C$178:$C$183,O23,$D$178:$D$183)</f>
        <v>0</v>
      </c>
      <c r="P31" s="223">
        <f t="shared" si="37"/>
        <v>0</v>
      </c>
      <c r="Q31" s="223">
        <f t="shared" si="37"/>
        <v>50</v>
      </c>
      <c r="R31" s="223">
        <f t="shared" si="37"/>
        <v>0</v>
      </c>
      <c r="S31" s="223">
        <f t="shared" si="37"/>
        <v>0</v>
      </c>
      <c r="T31" s="223">
        <f t="shared" si="37"/>
        <v>0</v>
      </c>
      <c r="U31" s="223">
        <f t="shared" si="37"/>
        <v>0</v>
      </c>
      <c r="V31" s="223">
        <f t="shared" si="37"/>
        <v>0</v>
      </c>
      <c r="W31" s="223">
        <f t="shared" si="37"/>
        <v>0</v>
      </c>
      <c r="X31" s="223">
        <f t="shared" si="37"/>
        <v>0</v>
      </c>
      <c r="Y31" s="223">
        <f t="shared" si="37"/>
        <v>0</v>
      </c>
      <c r="Z31" s="223">
        <f t="shared" si="37"/>
        <v>0</v>
      </c>
      <c r="AA31" s="223">
        <f t="shared" si="37"/>
        <v>0</v>
      </c>
    </row>
    <row r="32" spans="2:27" x14ac:dyDescent="0.3">
      <c r="B32" s="252"/>
      <c r="C32" s="252"/>
    </row>
    <row r="33" spans="2:27" x14ac:dyDescent="0.3">
      <c r="B33" s="208"/>
      <c r="C33" s="209"/>
      <c r="D33" s="242" t="s">
        <v>125</v>
      </c>
      <c r="E33" s="243"/>
      <c r="F33" s="244"/>
      <c r="G33" s="212">
        <v>2010</v>
      </c>
      <c r="H33" s="212">
        <v>2011</v>
      </c>
      <c r="I33" s="212">
        <v>2012</v>
      </c>
      <c r="J33" s="212">
        <v>2013</v>
      </c>
      <c r="K33" s="212">
        <v>2014</v>
      </c>
      <c r="L33" s="212">
        <v>2015</v>
      </c>
      <c r="M33" s="212">
        <v>2016</v>
      </c>
      <c r="N33" s="212">
        <v>2017</v>
      </c>
      <c r="O33" s="212">
        <v>2018</v>
      </c>
      <c r="P33" s="212">
        <v>2019</v>
      </c>
      <c r="Q33" s="212">
        <v>2020</v>
      </c>
      <c r="R33" s="212">
        <v>2021</v>
      </c>
      <c r="S33" s="212">
        <v>2022</v>
      </c>
      <c r="T33" s="212">
        <v>2023</v>
      </c>
      <c r="U33" s="212">
        <v>2024</v>
      </c>
      <c r="V33" s="212">
        <v>2025</v>
      </c>
      <c r="W33" s="212">
        <v>2026</v>
      </c>
      <c r="X33" s="212">
        <v>2027</v>
      </c>
      <c r="Y33" s="212">
        <v>2028</v>
      </c>
      <c r="Z33" s="212">
        <v>2029</v>
      </c>
      <c r="AA33" s="212">
        <v>2030</v>
      </c>
    </row>
    <row r="34" spans="2:27" x14ac:dyDescent="0.3">
      <c r="B34" s="253"/>
      <c r="C34" s="220"/>
      <c r="D34" s="254" t="s">
        <v>126</v>
      </c>
      <c r="E34" s="249"/>
      <c r="F34" s="233"/>
      <c r="G34" s="223">
        <v>5814019.0352499997</v>
      </c>
      <c r="H34" s="223">
        <v>6301852.2619999992</v>
      </c>
      <c r="I34" s="223">
        <v>6604327.1639999999</v>
      </c>
      <c r="J34" s="223">
        <v>7012819.3770000003</v>
      </c>
      <c r="K34" s="223">
        <v>7477658.0630000019</v>
      </c>
      <c r="L34" s="223">
        <v>7945921.6869999999</v>
      </c>
      <c r="M34" s="223">
        <v>8377847.3140000002</v>
      </c>
      <c r="N34" s="223">
        <v>8613743.881000001</v>
      </c>
      <c r="O34" s="223">
        <v>9096484.1005555242</v>
      </c>
      <c r="P34" s="223">
        <v>9861641.2775088195</v>
      </c>
      <c r="Q34" s="223">
        <v>10650466.03389922</v>
      </c>
      <c r="R34" s="223">
        <v>11767871.007999998</v>
      </c>
      <c r="S34" s="223">
        <v>12509304.038000001</v>
      </c>
      <c r="T34" s="223">
        <v>13292004.038000001</v>
      </c>
      <c r="U34" s="223">
        <v>14119084.037999999</v>
      </c>
      <c r="V34" s="223">
        <v>14992914.037999995</v>
      </c>
      <c r="W34" s="223">
        <v>15915934.037999999</v>
      </c>
      <c r="X34" s="223">
        <v>16890764.037999999</v>
      </c>
      <c r="Y34" s="223">
        <v>17920144.037999999</v>
      </c>
      <c r="Z34" s="223">
        <v>19006944.038000003</v>
      </c>
      <c r="AA34" s="223">
        <v>20154224.037999999</v>
      </c>
    </row>
    <row r="35" spans="2:27" x14ac:dyDescent="0.3">
      <c r="B35" s="253"/>
      <c r="C35" s="220"/>
      <c r="D35" s="254" t="s">
        <v>127</v>
      </c>
      <c r="E35" s="249"/>
      <c r="F35" s="233"/>
      <c r="G35" s="234"/>
      <c r="H35" s="234"/>
      <c r="I35" s="234"/>
      <c r="J35" s="234"/>
      <c r="K35" s="234"/>
      <c r="L35" s="234"/>
      <c r="M35" s="234"/>
      <c r="N35" s="234"/>
      <c r="O35" s="255">
        <v>0.04</v>
      </c>
      <c r="P35" s="255">
        <v>0.04</v>
      </c>
      <c r="Q35" s="255">
        <v>0.04</v>
      </c>
      <c r="R35" s="255">
        <v>0.04</v>
      </c>
      <c r="S35" s="255">
        <v>0.04</v>
      </c>
      <c r="T35" s="255">
        <v>0.04</v>
      </c>
      <c r="U35" s="255">
        <v>0.04</v>
      </c>
      <c r="V35" s="255">
        <v>0.04</v>
      </c>
      <c r="W35" s="255">
        <v>0.04</v>
      </c>
      <c r="X35" s="255">
        <v>0.04</v>
      </c>
      <c r="Y35" s="255">
        <v>0.04</v>
      </c>
      <c r="Z35" s="255">
        <v>0.04</v>
      </c>
      <c r="AA35" s="255">
        <v>0.04</v>
      </c>
    </row>
    <row r="36" spans="2:27" x14ac:dyDescent="0.3">
      <c r="B36" s="256"/>
      <c r="C36" s="209"/>
      <c r="D36" s="245" t="s">
        <v>128</v>
      </c>
      <c r="E36" s="246"/>
      <c r="F36" s="247"/>
      <c r="G36" s="216">
        <f>+G38</f>
        <v>6085440.8650679979</v>
      </c>
      <c r="H36" s="216">
        <f t="shared" ref="H36:N36" si="38">+H38</f>
        <v>6592941.5332299992</v>
      </c>
      <c r="I36" s="216">
        <f t="shared" si="38"/>
        <v>6861925.9259466501</v>
      </c>
      <c r="J36" s="216">
        <f t="shared" si="38"/>
        <v>7286833.0360245043</v>
      </c>
      <c r="K36" s="216">
        <f t="shared" si="38"/>
        <v>7743488.7027113652</v>
      </c>
      <c r="L36" s="216">
        <f t="shared" si="38"/>
        <v>8248316.8230674472</v>
      </c>
      <c r="M36" s="216">
        <f t="shared" si="38"/>
        <v>8669522.2586782202</v>
      </c>
      <c r="N36" s="216">
        <f t="shared" si="38"/>
        <v>8890377.2369821966</v>
      </c>
      <c r="O36" s="216">
        <f>+O34/(1-O35)</f>
        <v>9475504.2714120056</v>
      </c>
      <c r="P36" s="216">
        <f t="shared" ref="P36:AA36" si="39">+P34/(1-P35)</f>
        <v>10272542.997405021</v>
      </c>
      <c r="Q36" s="216">
        <f t="shared" si="39"/>
        <v>11094235.451978354</v>
      </c>
      <c r="R36" s="216">
        <f t="shared" si="39"/>
        <v>12258198.966666665</v>
      </c>
      <c r="S36" s="216">
        <f t="shared" si="39"/>
        <v>13030525.039583335</v>
      </c>
      <c r="T36" s="216">
        <f t="shared" si="39"/>
        <v>13845837.539583335</v>
      </c>
      <c r="U36" s="216">
        <f t="shared" si="39"/>
        <v>14707379.206249999</v>
      </c>
      <c r="V36" s="216">
        <f t="shared" si="39"/>
        <v>15617618.789583329</v>
      </c>
      <c r="W36" s="216">
        <f t="shared" si="39"/>
        <v>16579097.956249999</v>
      </c>
      <c r="X36" s="216">
        <f t="shared" si="39"/>
        <v>17594545.872916665</v>
      </c>
      <c r="Y36" s="216">
        <f t="shared" si="39"/>
        <v>18666816.706250001</v>
      </c>
      <c r="Z36" s="216">
        <f t="shared" si="39"/>
        <v>19798900.039583337</v>
      </c>
      <c r="AA36" s="216">
        <f t="shared" si="39"/>
        <v>20993983.372916665</v>
      </c>
    </row>
    <row r="37" spans="2:27" x14ac:dyDescent="0.3"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</row>
    <row r="38" spans="2:27" x14ac:dyDescent="0.3">
      <c r="B38" s="208"/>
      <c r="C38" s="209"/>
      <c r="D38" s="242" t="s">
        <v>129</v>
      </c>
      <c r="E38" s="243"/>
      <c r="F38" s="244"/>
      <c r="G38" s="259">
        <f t="shared" ref="G38:N38" si="40">+G190+G262+G335+G344</f>
        <v>6085440.8650679979</v>
      </c>
      <c r="H38" s="259">
        <f t="shared" si="40"/>
        <v>6592941.5332299992</v>
      </c>
      <c r="I38" s="259">
        <f t="shared" si="40"/>
        <v>6861925.9259466501</v>
      </c>
      <c r="J38" s="259">
        <f t="shared" si="40"/>
        <v>7286833.0360245043</v>
      </c>
      <c r="K38" s="259">
        <f t="shared" si="40"/>
        <v>7743488.7027113652</v>
      </c>
      <c r="L38" s="259">
        <f t="shared" si="40"/>
        <v>8248316.8230674472</v>
      </c>
      <c r="M38" s="259">
        <f t="shared" si="40"/>
        <v>8669522.2586782202</v>
      </c>
      <c r="N38" s="259">
        <f t="shared" si="40"/>
        <v>8890377.2369821966</v>
      </c>
      <c r="O38" s="259">
        <f t="shared" ref="O38:AA38" si="41">+O190+O262+O335+O344+O54+O82+O132+O151+O169</f>
        <v>9549855.4570679404</v>
      </c>
      <c r="P38" s="259">
        <f t="shared" si="41"/>
        <v>10217479.791623497</v>
      </c>
      <c r="Q38" s="259">
        <f t="shared" si="41"/>
        <v>12118993.393663254</v>
      </c>
      <c r="R38" s="259">
        <f t="shared" si="41"/>
        <v>14372124.482910259</v>
      </c>
      <c r="S38" s="259">
        <f t="shared" si="41"/>
        <v>14404552.148918491</v>
      </c>
      <c r="T38" s="259">
        <f t="shared" si="41"/>
        <v>15137238.304188725</v>
      </c>
      <c r="U38" s="259">
        <f t="shared" si="41"/>
        <v>15134371.645339157</v>
      </c>
      <c r="V38" s="259">
        <f t="shared" si="41"/>
        <v>18843226.627007123</v>
      </c>
      <c r="W38" s="259">
        <f t="shared" si="41"/>
        <v>18840260.588306114</v>
      </c>
      <c r="X38" s="259">
        <f t="shared" si="41"/>
        <v>18840277.151614688</v>
      </c>
      <c r="Y38" s="259">
        <f t="shared" si="41"/>
        <v>18841254.788975973</v>
      </c>
      <c r="Z38" s="259">
        <f t="shared" si="41"/>
        <v>37602748.194992095</v>
      </c>
      <c r="AA38" s="259">
        <f t="shared" si="41"/>
        <v>46227844.194992095</v>
      </c>
    </row>
    <row r="39" spans="2:27" x14ac:dyDescent="0.3">
      <c r="B39" s="219"/>
      <c r="C39" s="260"/>
      <c r="D39" s="248" t="s">
        <v>130</v>
      </c>
      <c r="E39" s="261"/>
      <c r="F39" s="262"/>
      <c r="G39" s="263">
        <f t="shared" ref="G39:N39" si="42">+G262+G335+G344</f>
        <v>2209585.150035846</v>
      </c>
      <c r="H39" s="263">
        <f t="shared" si="42"/>
        <v>2388145.9836729998</v>
      </c>
      <c r="I39" s="263">
        <f t="shared" si="42"/>
        <v>2386578.6652733334</v>
      </c>
      <c r="J39" s="263">
        <f t="shared" si="42"/>
        <v>2594391.147199627</v>
      </c>
      <c r="K39" s="263">
        <f t="shared" si="42"/>
        <v>2317460.2385350005</v>
      </c>
      <c r="L39" s="263">
        <f t="shared" si="42"/>
        <v>2530134.7848262745</v>
      </c>
      <c r="M39" s="263">
        <f t="shared" si="42"/>
        <v>1811708.9550000003</v>
      </c>
      <c r="N39" s="263">
        <f t="shared" si="42"/>
        <v>2334294.7473999988</v>
      </c>
      <c r="O39" s="263">
        <f t="shared" ref="O39:AA39" si="43">+O82+O132+O151+O169+O262+O335+O344</f>
        <v>3176644.4586587572</v>
      </c>
      <c r="P39" s="263">
        <f t="shared" si="43"/>
        <v>3678816.5949920905</v>
      </c>
      <c r="Q39" s="263">
        <f t="shared" si="43"/>
        <v>6453108.5949920909</v>
      </c>
      <c r="R39" s="263">
        <f t="shared" si="43"/>
        <v>8755674.59499209</v>
      </c>
      <c r="S39" s="263">
        <f t="shared" si="43"/>
        <v>8755674.59499209</v>
      </c>
      <c r="T39" s="263">
        <f t="shared" si="43"/>
        <v>9500274.59499209</v>
      </c>
      <c r="U39" s="263">
        <f t="shared" si="43"/>
        <v>9500274.59499209</v>
      </c>
      <c r="V39" s="263">
        <f t="shared" si="43"/>
        <v>15597234.59499209</v>
      </c>
      <c r="W39" s="263">
        <f t="shared" si="43"/>
        <v>15597234.59499209</v>
      </c>
      <c r="X39" s="263">
        <f t="shared" si="43"/>
        <v>15597234.59499209</v>
      </c>
      <c r="Y39" s="263">
        <f t="shared" si="43"/>
        <v>15597234.59499209</v>
      </c>
      <c r="Z39" s="263">
        <f t="shared" si="43"/>
        <v>37602748.194992095</v>
      </c>
      <c r="AA39" s="263">
        <f t="shared" si="43"/>
        <v>46227844.194992095</v>
      </c>
    </row>
    <row r="40" spans="2:27" x14ac:dyDescent="0.3">
      <c r="B40" s="219"/>
      <c r="C40" s="260"/>
      <c r="D40" s="248" t="s">
        <v>111</v>
      </c>
      <c r="E40" s="261"/>
      <c r="F40" s="262"/>
      <c r="G40" s="264">
        <f>+G39/G38</f>
        <v>0.36309368524463614</v>
      </c>
      <c r="H40" s="264">
        <f t="shared" ref="H40:AA40" si="44">+H39/H38</f>
        <v>0.36222769027090168</v>
      </c>
      <c r="I40" s="264">
        <f t="shared" si="44"/>
        <v>0.34780012069921734</v>
      </c>
      <c r="J40" s="264">
        <f t="shared" si="44"/>
        <v>0.35603823147498043</v>
      </c>
      <c r="K40" s="264">
        <f t="shared" si="44"/>
        <v>0.29927857164995242</v>
      </c>
      <c r="L40" s="264">
        <f t="shared" si="44"/>
        <v>0.30674558689967352</v>
      </c>
      <c r="M40" s="264">
        <f t="shared" si="44"/>
        <v>0.20897448566862767</v>
      </c>
      <c r="N40" s="264">
        <f t="shared" si="44"/>
        <v>0.26256419555401972</v>
      </c>
      <c r="O40" s="264">
        <f t="shared" si="44"/>
        <v>0.33263796221205544</v>
      </c>
      <c r="P40" s="264">
        <f t="shared" si="44"/>
        <v>0.36005127193968722</v>
      </c>
      <c r="Q40" s="264">
        <f t="shared" si="44"/>
        <v>0.53247892670411678</v>
      </c>
      <c r="R40" s="264">
        <f t="shared" si="44"/>
        <v>0.60921227097659569</v>
      </c>
      <c r="S40" s="264">
        <f t="shared" si="44"/>
        <v>0.60784080646682759</v>
      </c>
      <c r="T40" s="264">
        <f t="shared" si="44"/>
        <v>0.62760950208223953</v>
      </c>
      <c r="U40" s="264">
        <f t="shared" si="44"/>
        <v>0.62772837998317776</v>
      </c>
      <c r="V40" s="264">
        <f t="shared" si="44"/>
        <v>0.8277369318817881</v>
      </c>
      <c r="W40" s="264">
        <f t="shared" si="44"/>
        <v>0.82786724323086458</v>
      </c>
      <c r="X40" s="264">
        <f t="shared" si="44"/>
        <v>0.82786651541669831</v>
      </c>
      <c r="Y40" s="264">
        <f t="shared" si="44"/>
        <v>0.82782355897644566</v>
      </c>
      <c r="Z40" s="264">
        <f t="shared" si="44"/>
        <v>1</v>
      </c>
      <c r="AA40" s="264">
        <f t="shared" si="44"/>
        <v>1</v>
      </c>
    </row>
    <row r="41" spans="2:27" x14ac:dyDescent="0.3">
      <c r="B41" s="219"/>
      <c r="C41" s="260"/>
      <c r="D41" s="248" t="s">
        <v>131</v>
      </c>
      <c r="E41" s="261"/>
      <c r="F41" s="262"/>
      <c r="G41" s="265">
        <f t="shared" ref="G41:AA41" si="45">+G54+G190</f>
        <v>3875855.7150321514</v>
      </c>
      <c r="H41" s="265">
        <f t="shared" si="45"/>
        <v>4204795.5495570004</v>
      </c>
      <c r="I41" s="265">
        <f t="shared" si="45"/>
        <v>4475347.2606733171</v>
      </c>
      <c r="J41" s="265">
        <f t="shared" si="45"/>
        <v>4692441.8888248773</v>
      </c>
      <c r="K41" s="265">
        <f t="shared" si="45"/>
        <v>5426028.4641763652</v>
      </c>
      <c r="L41" s="265">
        <f t="shared" si="45"/>
        <v>5718182.0382411722</v>
      </c>
      <c r="M41" s="265">
        <f t="shared" si="45"/>
        <v>6857813.3036782192</v>
      </c>
      <c r="N41" s="265">
        <f t="shared" si="45"/>
        <v>6556082.4895821987</v>
      </c>
      <c r="O41" s="265">
        <f t="shared" si="45"/>
        <v>6373210.9984091837</v>
      </c>
      <c r="P41" s="265">
        <f t="shared" si="45"/>
        <v>6538663.1966314064</v>
      </c>
      <c r="Q41" s="265">
        <f t="shared" si="45"/>
        <v>5665884.7986711618</v>
      </c>
      <c r="R41" s="265">
        <f t="shared" si="45"/>
        <v>5616449.8879181677</v>
      </c>
      <c r="S41" s="265">
        <f t="shared" si="45"/>
        <v>5648877.553926399</v>
      </c>
      <c r="T41" s="265">
        <f t="shared" si="45"/>
        <v>5636963.7091966337</v>
      </c>
      <c r="U41" s="265">
        <f t="shared" si="45"/>
        <v>5634097.0503470665</v>
      </c>
      <c r="V41" s="265">
        <f t="shared" si="45"/>
        <v>3245992.0320150317</v>
      </c>
      <c r="W41" s="265">
        <f t="shared" si="45"/>
        <v>3243025.9933140208</v>
      </c>
      <c r="X41" s="265">
        <f t="shared" si="45"/>
        <v>3243042.5566225951</v>
      </c>
      <c r="Y41" s="265">
        <f t="shared" si="45"/>
        <v>3244020.1939838827</v>
      </c>
      <c r="Z41" s="265">
        <f t="shared" si="45"/>
        <v>0</v>
      </c>
      <c r="AA41" s="265">
        <f t="shared" si="45"/>
        <v>0</v>
      </c>
    </row>
    <row r="42" spans="2:27" x14ac:dyDescent="0.3">
      <c r="B42" s="219"/>
      <c r="C42" s="260"/>
      <c r="D42" s="248" t="s">
        <v>109</v>
      </c>
      <c r="E42" s="261"/>
      <c r="F42" s="262"/>
      <c r="G42" s="264">
        <f>+G41/G38</f>
        <v>0.63690631475536374</v>
      </c>
      <c r="H42" s="264">
        <f t="shared" ref="H42:AA42" si="46">+H41/H38</f>
        <v>0.63777230972909849</v>
      </c>
      <c r="I42" s="264">
        <f t="shared" si="46"/>
        <v>0.65219987930078271</v>
      </c>
      <c r="J42" s="264">
        <f t="shared" si="46"/>
        <v>0.64396176852501952</v>
      </c>
      <c r="K42" s="264">
        <f t="shared" si="46"/>
        <v>0.70072142835004758</v>
      </c>
      <c r="L42" s="264">
        <f t="shared" si="46"/>
        <v>0.69325441310032643</v>
      </c>
      <c r="M42" s="264">
        <f t="shared" si="46"/>
        <v>0.79102551433137225</v>
      </c>
      <c r="N42" s="264">
        <f t="shared" si="46"/>
        <v>0.73743580444598045</v>
      </c>
      <c r="O42" s="264">
        <f t="shared" si="46"/>
        <v>0.66736203778794456</v>
      </c>
      <c r="P42" s="264">
        <f t="shared" si="46"/>
        <v>0.63994872806031278</v>
      </c>
      <c r="Q42" s="264">
        <f t="shared" si="46"/>
        <v>0.46752107329588316</v>
      </c>
      <c r="R42" s="264">
        <f t="shared" si="46"/>
        <v>0.39078772902340425</v>
      </c>
      <c r="S42" s="264">
        <f t="shared" si="46"/>
        <v>0.39215919353317225</v>
      </c>
      <c r="T42" s="264">
        <f t="shared" si="46"/>
        <v>0.37239049791776035</v>
      </c>
      <c r="U42" s="264">
        <f t="shared" si="46"/>
        <v>0.37227162001682218</v>
      </c>
      <c r="V42" s="264">
        <f t="shared" si="46"/>
        <v>0.17226306811821188</v>
      </c>
      <c r="W42" s="264">
        <f t="shared" si="46"/>
        <v>0.17213275676913523</v>
      </c>
      <c r="X42" s="264">
        <f t="shared" si="46"/>
        <v>0.17213348458330152</v>
      </c>
      <c r="Y42" s="264">
        <f t="shared" si="46"/>
        <v>0.17217644102355437</v>
      </c>
      <c r="Z42" s="264">
        <f t="shared" si="46"/>
        <v>0</v>
      </c>
      <c r="AA42" s="264">
        <f t="shared" si="46"/>
        <v>0</v>
      </c>
    </row>
    <row r="43" spans="2:27" x14ac:dyDescent="0.3">
      <c r="B43" s="219"/>
      <c r="C43" s="260"/>
      <c r="D43" s="266" t="s">
        <v>132</v>
      </c>
      <c r="E43" s="221"/>
      <c r="F43" s="267"/>
      <c r="G43" s="265">
        <f t="shared" ref="G43:AA43" si="47">+G38-G36</f>
        <v>0</v>
      </c>
      <c r="H43" s="265">
        <f t="shared" si="47"/>
        <v>0</v>
      </c>
      <c r="I43" s="265">
        <f t="shared" si="47"/>
        <v>0</v>
      </c>
      <c r="J43" s="265">
        <f t="shared" si="47"/>
        <v>0</v>
      </c>
      <c r="K43" s="265">
        <f t="shared" si="47"/>
        <v>0</v>
      </c>
      <c r="L43" s="265">
        <f t="shared" si="47"/>
        <v>0</v>
      </c>
      <c r="M43" s="265">
        <f t="shared" si="47"/>
        <v>0</v>
      </c>
      <c r="N43" s="265">
        <f t="shared" si="47"/>
        <v>0</v>
      </c>
      <c r="O43" s="265">
        <f t="shared" si="47"/>
        <v>74351.185655934736</v>
      </c>
      <c r="P43" s="265">
        <f t="shared" si="47"/>
        <v>-55063.205781523138</v>
      </c>
      <c r="Q43" s="265">
        <f t="shared" si="47"/>
        <v>1024757.9416848999</v>
      </c>
      <c r="R43" s="265">
        <f t="shared" si="47"/>
        <v>2113925.5162435938</v>
      </c>
      <c r="S43" s="265">
        <f t="shared" si="47"/>
        <v>1374027.1093351562</v>
      </c>
      <c r="T43" s="265">
        <f t="shared" si="47"/>
        <v>1291400.7646053899</v>
      </c>
      <c r="U43" s="265">
        <f t="shared" si="47"/>
        <v>426992.43908915855</v>
      </c>
      <c r="V43" s="265">
        <f t="shared" si="47"/>
        <v>3225607.837423794</v>
      </c>
      <c r="W43" s="265">
        <f t="shared" si="47"/>
        <v>2261162.6320561152</v>
      </c>
      <c r="X43" s="265">
        <f t="shared" si="47"/>
        <v>1245731.2786980234</v>
      </c>
      <c r="Y43" s="265">
        <f t="shared" si="47"/>
        <v>174438.08272597194</v>
      </c>
      <c r="Z43" s="265">
        <f t="shared" si="47"/>
        <v>17803848.155408759</v>
      </c>
      <c r="AA43" s="265">
        <f t="shared" si="47"/>
        <v>25233860.82207543</v>
      </c>
    </row>
    <row r="44" spans="2:27" x14ac:dyDescent="0.3">
      <c r="B44" s="219"/>
      <c r="C44" s="219"/>
      <c r="D44" s="219"/>
      <c r="E44" s="219"/>
      <c r="F44" s="219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  <c r="AA44" s="268"/>
    </row>
    <row r="45" spans="2:27" x14ac:dyDescent="0.3">
      <c r="B45" s="208"/>
      <c r="C45" s="209"/>
      <c r="D45" s="242" t="s">
        <v>133</v>
      </c>
      <c r="E45" s="243"/>
      <c r="F45" s="244"/>
      <c r="G45" s="212">
        <v>2010</v>
      </c>
      <c r="H45" s="212">
        <v>2011</v>
      </c>
      <c r="I45" s="212">
        <v>2012</v>
      </c>
      <c r="J45" s="212">
        <v>2013</v>
      </c>
      <c r="K45" s="212">
        <v>2014</v>
      </c>
      <c r="L45" s="212">
        <v>2015</v>
      </c>
      <c r="M45" s="212">
        <v>2016</v>
      </c>
      <c r="N45" s="212">
        <v>2017</v>
      </c>
      <c r="O45" s="212">
        <v>2018</v>
      </c>
      <c r="P45" s="212">
        <v>2019</v>
      </c>
      <c r="Q45" s="212">
        <v>2020</v>
      </c>
      <c r="R45" s="212">
        <v>2021</v>
      </c>
      <c r="S45" s="212">
        <v>2022</v>
      </c>
      <c r="T45" s="212">
        <v>2023</v>
      </c>
      <c r="U45" s="212">
        <v>2024</v>
      </c>
      <c r="V45" s="212">
        <v>2025</v>
      </c>
      <c r="W45" s="212">
        <v>2026</v>
      </c>
      <c r="X45" s="212">
        <v>2027</v>
      </c>
      <c r="Y45" s="212">
        <v>2028</v>
      </c>
      <c r="Z45" s="212">
        <v>2029</v>
      </c>
      <c r="AA45" s="212">
        <v>2030</v>
      </c>
    </row>
    <row r="46" spans="2:27" ht="15.6" x14ac:dyDescent="0.35">
      <c r="B46" s="219"/>
      <c r="C46" s="260"/>
      <c r="D46" s="248" t="s">
        <v>134</v>
      </c>
      <c r="E46" s="261"/>
      <c r="F46" s="262"/>
      <c r="G46" s="263">
        <f>+[16]OM_EF_2010!H23</f>
        <v>2367600.8022007537</v>
      </c>
      <c r="H46" s="263">
        <f>+[16]OM_EF_2011!H22</f>
        <v>2563443.5542223589</v>
      </c>
      <c r="I46" s="263">
        <f>+[16]OM_EF_2012!H22</f>
        <v>2817609.7087179245</v>
      </c>
      <c r="J46" s="263">
        <f>+[16]OM_EF_2013!H22</f>
        <v>2778715.3568573501</v>
      </c>
      <c r="K46" s="263">
        <f>+[16]OM_EF_2014!H22</f>
        <v>3227014.1231285771</v>
      </c>
      <c r="L46" s="263">
        <f>+[16]OM_EF_2015!H22</f>
        <v>3281998.2416344592</v>
      </c>
      <c r="M46" s="263">
        <f>+[16]OM_EF_2016!H23</f>
        <v>4027512.3858852028</v>
      </c>
      <c r="N46" s="263">
        <f>+[16]OM_EF_2017!H22</f>
        <v>3757647.5833060076</v>
      </c>
      <c r="O46" s="263">
        <f>+SUMPRODUCT($F$191:$F$258,O191:O258)+SUMPRODUCT($F$55:$F$78,O55:O78)</f>
        <v>3649126.2841368457</v>
      </c>
      <c r="P46" s="263">
        <f t="shared" ref="P46:AA46" si="48">+SUMPRODUCT($F$191:$F$258,P191:P258)+SUMPRODUCT($F$55:$F$78,P55:P78)</f>
        <v>3738352.4734215885</v>
      </c>
      <c r="Q46" s="263">
        <f t="shared" si="48"/>
        <v>3130293.7738030697</v>
      </c>
      <c r="R46" s="263">
        <f t="shared" si="48"/>
        <v>3100192.1497618537</v>
      </c>
      <c r="S46" s="263">
        <f t="shared" si="48"/>
        <v>3117677.6196763488</v>
      </c>
      <c r="T46" s="263">
        <f t="shared" si="48"/>
        <v>3111249.5164674278</v>
      </c>
      <c r="U46" s="263">
        <f t="shared" si="48"/>
        <v>3109706.4286352098</v>
      </c>
      <c r="V46" s="263">
        <f t="shared" si="48"/>
        <v>1717150.907472095</v>
      </c>
      <c r="W46" s="263">
        <f t="shared" si="48"/>
        <v>1715550.9858887549</v>
      </c>
      <c r="X46" s="263">
        <f>+SUMPRODUCT($F$191:$F$258,X191:X258)+SUMPRODUCT($F$55:$F$78,X55:X78)</f>
        <v>1715560.4581806087</v>
      </c>
      <c r="Y46" s="263">
        <f t="shared" si="48"/>
        <v>1716087.4505138197</v>
      </c>
      <c r="Z46" s="263">
        <f t="shared" si="48"/>
        <v>0</v>
      </c>
      <c r="AA46" s="263">
        <f t="shared" si="48"/>
        <v>0</v>
      </c>
    </row>
    <row r="47" spans="2:27" ht="15.6" x14ac:dyDescent="0.35">
      <c r="B47" s="219"/>
      <c r="C47" s="260"/>
      <c r="D47" s="248" t="s">
        <v>135</v>
      </c>
      <c r="E47" s="261"/>
      <c r="F47" s="262"/>
      <c r="G47" s="269">
        <f>+'[16]Grid-EF'!H9</f>
        <v>0.3890598651268462</v>
      </c>
      <c r="H47" s="269">
        <f>+'[16]Grid-EF'!I9</f>
        <v>0.38881636387976309</v>
      </c>
      <c r="I47" s="269">
        <f>+'[16]Grid-EF'!J9</f>
        <v>0.41061499921819916</v>
      </c>
      <c r="J47" s="269">
        <f>+'[16]Grid-EF'!K9</f>
        <v>0.38133374857362462</v>
      </c>
      <c r="K47" s="269">
        <f>+'[16]Grid-EF'!L9</f>
        <v>0.41673904967390796</v>
      </c>
      <c r="L47" s="269">
        <f>+'[16]Grid-EF'!M9</f>
        <v>0.39789914864278025</v>
      </c>
      <c r="M47" s="269">
        <f>+'[16]Grid-EF'!N9</f>
        <v>0.46455989911712259</v>
      </c>
      <c r="N47" s="269">
        <f>+'[16]Grid-EF'!O9</f>
        <v>0.42261392631992878</v>
      </c>
      <c r="O47" s="269">
        <f>+O46/O38</f>
        <v>0.38211324773885369</v>
      </c>
      <c r="P47" s="269">
        <f t="shared" ref="P47:AA47" si="49">+P46/P38</f>
        <v>0.36587813723755713</v>
      </c>
      <c r="Q47" s="269">
        <f t="shared" si="49"/>
        <v>0.25829651623045108</v>
      </c>
      <c r="R47" s="269">
        <f t="shared" si="49"/>
        <v>0.2157086903504252</v>
      </c>
      <c r="S47" s="269">
        <f t="shared" si="49"/>
        <v>0.2164369698859695</v>
      </c>
      <c r="T47" s="269">
        <f t="shared" si="49"/>
        <v>0.20553613901992238</v>
      </c>
      <c r="U47" s="269">
        <f t="shared" si="49"/>
        <v>0.20547311124032611</v>
      </c>
      <c r="V47" s="269">
        <f t="shared" si="49"/>
        <v>9.1128283996275997E-2</v>
      </c>
      <c r="W47" s="269">
        <f t="shared" si="49"/>
        <v>9.1057710048531568E-2</v>
      </c>
      <c r="X47" s="269">
        <f t="shared" si="49"/>
        <v>9.1058132763910976E-2</v>
      </c>
      <c r="Y47" s="269">
        <f t="shared" si="49"/>
        <v>9.1081378057575199E-2</v>
      </c>
      <c r="Z47" s="269">
        <f t="shared" si="49"/>
        <v>0</v>
      </c>
      <c r="AA47" s="269">
        <f t="shared" si="49"/>
        <v>0</v>
      </c>
    </row>
    <row r="48" spans="2:27" ht="15.6" x14ac:dyDescent="0.35">
      <c r="B48" s="219"/>
      <c r="C48" s="260"/>
      <c r="D48" s="248" t="s">
        <v>136</v>
      </c>
      <c r="E48" s="261"/>
      <c r="F48" s="262"/>
      <c r="G48" s="269">
        <f>+G46/G41</f>
        <v>0.61085885963665543</v>
      </c>
      <c r="H48" s="269">
        <f t="shared" ref="H48:Y48" si="50">+H46/H41</f>
        <v>0.6096476092618659</v>
      </c>
      <c r="I48" s="269">
        <f t="shared" si="50"/>
        <v>0.62958459860252602</v>
      </c>
      <c r="J48" s="269">
        <f t="shared" si="50"/>
        <v>0.59216830441201707</v>
      </c>
      <c r="K48" s="269">
        <f t="shared" si="50"/>
        <v>0.5947285651805766</v>
      </c>
      <c r="L48" s="269">
        <f t="shared" si="50"/>
        <v>0.57395833495429482</v>
      </c>
      <c r="M48" s="269">
        <f t="shared" si="50"/>
        <v>0.58728813508600886</v>
      </c>
      <c r="N48" s="269">
        <f t="shared" si="50"/>
        <v>0.57315440879168567</v>
      </c>
      <c r="O48" s="269">
        <f t="shared" si="50"/>
        <v>0.57257264588410828</v>
      </c>
      <c r="P48" s="269">
        <f t="shared" si="50"/>
        <v>0.57173039213084353</v>
      </c>
      <c r="Q48" s="269">
        <f t="shared" si="50"/>
        <v>0.55248101312212128</v>
      </c>
      <c r="R48" s="269">
        <f t="shared" si="50"/>
        <v>0.55198429820068995</v>
      </c>
      <c r="S48" s="269">
        <f t="shared" si="50"/>
        <v>0.55191099292094337</v>
      </c>
      <c r="T48" s="269">
        <f t="shared" si="50"/>
        <v>0.5519371202251071</v>
      </c>
      <c r="U48" s="269">
        <f t="shared" si="50"/>
        <v>0.55194406501102933</v>
      </c>
      <c r="V48" s="269">
        <f t="shared" si="50"/>
        <v>0.52900650726678777</v>
      </c>
      <c r="W48" s="269">
        <f t="shared" si="50"/>
        <v>0.52899698905454895</v>
      </c>
      <c r="X48" s="269">
        <f t="shared" si="50"/>
        <v>0.52899720809314521</v>
      </c>
      <c r="Y48" s="269">
        <f t="shared" si="50"/>
        <v>0.52900023671133345</v>
      </c>
      <c r="Z48" s="269"/>
      <c r="AA48" s="269">
        <v>0</v>
      </c>
    </row>
    <row r="49" spans="2:27" x14ac:dyDescent="0.3">
      <c r="B49" s="219"/>
      <c r="C49" s="219"/>
      <c r="D49" s="219"/>
      <c r="E49" s="219"/>
      <c r="F49" s="219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</row>
    <row r="50" spans="2:27" x14ac:dyDescent="0.3">
      <c r="B50" s="270" t="s">
        <v>137</v>
      </c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  <c r="AA50" s="272"/>
    </row>
    <row r="51" spans="2:27" x14ac:dyDescent="0.3">
      <c r="B51" s="219"/>
      <c r="C51" s="219"/>
      <c r="D51" s="219"/>
      <c r="E51" s="219"/>
      <c r="F51" s="219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8"/>
      <c r="W51" s="268"/>
      <c r="X51" s="268"/>
      <c r="Y51" s="268"/>
      <c r="Z51" s="268"/>
      <c r="AA51" s="268"/>
    </row>
    <row r="52" spans="2:27" x14ac:dyDescent="0.3">
      <c r="B52" s="243"/>
      <c r="C52" s="211"/>
      <c r="D52" s="211"/>
      <c r="E52" s="211"/>
      <c r="F52" s="244"/>
      <c r="G52" s="212">
        <v>2010</v>
      </c>
      <c r="H52" s="212">
        <v>2011</v>
      </c>
      <c r="I52" s="212">
        <v>2012</v>
      </c>
      <c r="J52" s="212">
        <v>2013</v>
      </c>
      <c r="K52" s="212">
        <v>2014</v>
      </c>
      <c r="L52" s="212">
        <v>2015</v>
      </c>
      <c r="M52" s="212">
        <v>2016</v>
      </c>
      <c r="N52" s="212">
        <v>2017</v>
      </c>
      <c r="O52" s="212">
        <v>2018</v>
      </c>
      <c r="P52" s="212">
        <v>2019</v>
      </c>
      <c r="Q52" s="212">
        <v>2020</v>
      </c>
      <c r="R52" s="212">
        <v>2021</v>
      </c>
      <c r="S52" s="212">
        <v>2022</v>
      </c>
      <c r="T52" s="212">
        <v>2023</v>
      </c>
      <c r="U52" s="212">
        <v>2024</v>
      </c>
      <c r="V52" s="212">
        <v>2025</v>
      </c>
      <c r="W52" s="212">
        <v>2026</v>
      </c>
      <c r="X52" s="212">
        <v>2027</v>
      </c>
      <c r="Y52" s="212">
        <v>2028</v>
      </c>
      <c r="Z52" s="212">
        <v>2029</v>
      </c>
      <c r="AA52" s="212">
        <v>2030</v>
      </c>
    </row>
    <row r="53" spans="2:27" s="277" customFormat="1" ht="53.25" customHeight="1" x14ac:dyDescent="0.25">
      <c r="B53" s="273" t="s">
        <v>138</v>
      </c>
      <c r="C53" s="274" t="s">
        <v>139</v>
      </c>
      <c r="D53" s="274" t="s">
        <v>140</v>
      </c>
      <c r="E53" s="275" t="s">
        <v>141</v>
      </c>
      <c r="F53" s="276" t="s">
        <v>142</v>
      </c>
      <c r="G53" s="276" t="s">
        <v>143</v>
      </c>
      <c r="H53" s="276" t="s">
        <v>143</v>
      </c>
      <c r="I53" s="276" t="s">
        <v>143</v>
      </c>
      <c r="J53" s="276" t="s">
        <v>143</v>
      </c>
      <c r="K53" s="276" t="s">
        <v>143</v>
      </c>
      <c r="L53" s="276" t="s">
        <v>143</v>
      </c>
      <c r="M53" s="276" t="s">
        <v>143</v>
      </c>
      <c r="N53" s="276" t="s">
        <v>143</v>
      </c>
      <c r="O53" s="276" t="s">
        <v>143</v>
      </c>
      <c r="P53" s="276" t="s">
        <v>143</v>
      </c>
      <c r="Q53" s="276" t="s">
        <v>143</v>
      </c>
      <c r="R53" s="276" t="s">
        <v>143</v>
      </c>
      <c r="S53" s="276" t="s">
        <v>143</v>
      </c>
      <c r="T53" s="276" t="s">
        <v>143</v>
      </c>
      <c r="U53" s="276" t="s">
        <v>143</v>
      </c>
      <c r="V53" s="276" t="s">
        <v>143</v>
      </c>
      <c r="W53" s="276" t="s">
        <v>143</v>
      </c>
      <c r="X53" s="276" t="s">
        <v>143</v>
      </c>
      <c r="Y53" s="276" t="s">
        <v>143</v>
      </c>
      <c r="Z53" s="276" t="s">
        <v>143</v>
      </c>
      <c r="AA53" s="276" t="s">
        <v>143</v>
      </c>
    </row>
    <row r="54" spans="2:27" x14ac:dyDescent="0.3">
      <c r="B54" s="278" t="s">
        <v>144</v>
      </c>
      <c r="C54" s="279"/>
      <c r="D54" s="279"/>
      <c r="E54" s="279"/>
      <c r="F54" s="279"/>
      <c r="G54" s="280">
        <f t="shared" ref="G54:AA54" si="51">SUM(G55:G78)</f>
        <v>0</v>
      </c>
      <c r="H54" s="280">
        <f t="shared" si="51"/>
        <v>0</v>
      </c>
      <c r="I54" s="280">
        <f t="shared" si="51"/>
        <v>0</v>
      </c>
      <c r="J54" s="280">
        <f t="shared" si="51"/>
        <v>0</v>
      </c>
      <c r="K54" s="280">
        <f t="shared" si="51"/>
        <v>0</v>
      </c>
      <c r="L54" s="280">
        <f t="shared" si="51"/>
        <v>0</v>
      </c>
      <c r="M54" s="280">
        <f t="shared" si="51"/>
        <v>0</v>
      </c>
      <c r="N54" s="280">
        <f t="shared" si="51"/>
        <v>0</v>
      </c>
      <c r="O54" s="280">
        <f t="shared" si="51"/>
        <v>0</v>
      </c>
      <c r="P54" s="280">
        <f t="shared" si="51"/>
        <v>0</v>
      </c>
      <c r="Q54" s="280">
        <f t="shared" si="51"/>
        <v>0</v>
      </c>
      <c r="R54" s="280">
        <f t="shared" si="51"/>
        <v>0</v>
      </c>
      <c r="S54" s="280">
        <f t="shared" si="51"/>
        <v>0</v>
      </c>
      <c r="T54" s="280">
        <f t="shared" si="51"/>
        <v>0</v>
      </c>
      <c r="U54" s="280">
        <f t="shared" si="51"/>
        <v>0</v>
      </c>
      <c r="V54" s="280">
        <f t="shared" si="51"/>
        <v>0</v>
      </c>
      <c r="W54" s="280">
        <f t="shared" si="51"/>
        <v>0</v>
      </c>
      <c r="X54" s="280">
        <f t="shared" si="51"/>
        <v>0</v>
      </c>
      <c r="Y54" s="280">
        <f t="shared" si="51"/>
        <v>0</v>
      </c>
      <c r="Z54" s="280">
        <f t="shared" si="51"/>
        <v>0</v>
      </c>
      <c r="AA54" s="280">
        <f t="shared" si="51"/>
        <v>0</v>
      </c>
    </row>
    <row r="55" spans="2:27" x14ac:dyDescent="0.3">
      <c r="B55" s="281" t="s">
        <v>145</v>
      </c>
      <c r="C55" s="282"/>
      <c r="D55" s="282"/>
      <c r="E55" s="282"/>
      <c r="F55" s="282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</row>
    <row r="56" spans="2:27" x14ac:dyDescent="0.3">
      <c r="B56" s="284" t="s">
        <v>146</v>
      </c>
      <c r="C56" s="285"/>
      <c r="D56" s="286"/>
      <c r="E56" s="286"/>
      <c r="F56" s="287">
        <f>+'[16]GHG-ER'!J29</f>
        <v>0.38170767905185599</v>
      </c>
      <c r="G56" s="288">
        <v>0</v>
      </c>
      <c r="H56" s="288">
        <v>0</v>
      </c>
      <c r="I56" s="288">
        <v>0</v>
      </c>
      <c r="J56" s="288">
        <v>0</v>
      </c>
      <c r="K56" s="288">
        <v>0</v>
      </c>
      <c r="L56" s="288">
        <v>0</v>
      </c>
      <c r="M56" s="288">
        <v>0</v>
      </c>
      <c r="N56" s="288">
        <v>0</v>
      </c>
      <c r="O56" s="288">
        <v>0</v>
      </c>
      <c r="P56" s="288">
        <f>+$D56*8760*$E56</f>
        <v>0</v>
      </c>
      <c r="Q56" s="288">
        <f t="shared" ref="Q56:AA58" si="52">+$D56*8760*$E56</f>
        <v>0</v>
      </c>
      <c r="R56" s="288">
        <f t="shared" si="52"/>
        <v>0</v>
      </c>
      <c r="S56" s="288">
        <f t="shared" si="52"/>
        <v>0</v>
      </c>
      <c r="T56" s="288">
        <f t="shared" si="52"/>
        <v>0</v>
      </c>
      <c r="U56" s="288">
        <f t="shared" si="52"/>
        <v>0</v>
      </c>
      <c r="V56" s="288">
        <f t="shared" si="52"/>
        <v>0</v>
      </c>
      <c r="W56" s="288">
        <f t="shared" si="52"/>
        <v>0</v>
      </c>
      <c r="X56" s="288">
        <f t="shared" si="52"/>
        <v>0</v>
      </c>
      <c r="Y56" s="288">
        <f t="shared" si="52"/>
        <v>0</v>
      </c>
      <c r="Z56" s="288">
        <f t="shared" si="52"/>
        <v>0</v>
      </c>
      <c r="AA56" s="288">
        <f t="shared" si="52"/>
        <v>0</v>
      </c>
    </row>
    <row r="57" spans="2:27" x14ac:dyDescent="0.3">
      <c r="B57" s="284" t="s">
        <v>147</v>
      </c>
      <c r="C57" s="285"/>
      <c r="D57" s="286"/>
      <c r="E57" s="286"/>
      <c r="F57" s="287"/>
      <c r="G57" s="288">
        <v>0</v>
      </c>
      <c r="H57" s="288">
        <v>0</v>
      </c>
      <c r="I57" s="288">
        <v>0</v>
      </c>
      <c r="J57" s="288">
        <v>0</v>
      </c>
      <c r="K57" s="288">
        <v>0</v>
      </c>
      <c r="L57" s="288">
        <v>0</v>
      </c>
      <c r="M57" s="288">
        <v>0</v>
      </c>
      <c r="N57" s="288">
        <v>0</v>
      </c>
      <c r="O57" s="288">
        <v>0</v>
      </c>
      <c r="P57" s="288">
        <f>+$D57*8760*$E57</f>
        <v>0</v>
      </c>
      <c r="Q57" s="288">
        <f t="shared" si="52"/>
        <v>0</v>
      </c>
      <c r="R57" s="288">
        <f t="shared" si="52"/>
        <v>0</v>
      </c>
      <c r="S57" s="288">
        <f t="shared" si="52"/>
        <v>0</v>
      </c>
      <c r="T57" s="288">
        <f t="shared" si="52"/>
        <v>0</v>
      </c>
      <c r="U57" s="288">
        <f t="shared" si="52"/>
        <v>0</v>
      </c>
      <c r="V57" s="288">
        <f t="shared" si="52"/>
        <v>0</v>
      </c>
      <c r="W57" s="288">
        <f t="shared" si="52"/>
        <v>0</v>
      </c>
      <c r="X57" s="288">
        <f t="shared" si="52"/>
        <v>0</v>
      </c>
      <c r="Y57" s="288">
        <f t="shared" si="52"/>
        <v>0</v>
      </c>
      <c r="Z57" s="288">
        <f t="shared" si="52"/>
        <v>0</v>
      </c>
      <c r="AA57" s="288">
        <f t="shared" si="52"/>
        <v>0</v>
      </c>
    </row>
    <row r="58" spans="2:27" x14ac:dyDescent="0.3">
      <c r="B58" s="284" t="s">
        <v>148</v>
      </c>
      <c r="C58" s="285"/>
      <c r="D58" s="286"/>
      <c r="E58" s="286"/>
      <c r="F58" s="287"/>
      <c r="G58" s="288">
        <v>0</v>
      </c>
      <c r="H58" s="288">
        <v>0</v>
      </c>
      <c r="I58" s="288">
        <v>0</v>
      </c>
      <c r="J58" s="288">
        <v>0</v>
      </c>
      <c r="K58" s="288">
        <v>0</v>
      </c>
      <c r="L58" s="288">
        <v>0</v>
      </c>
      <c r="M58" s="288">
        <v>0</v>
      </c>
      <c r="N58" s="288">
        <v>0</v>
      </c>
      <c r="O58" s="288">
        <v>0</v>
      </c>
      <c r="P58" s="288">
        <f>+$D58*8760*$E58</f>
        <v>0</v>
      </c>
      <c r="Q58" s="288">
        <f t="shared" si="52"/>
        <v>0</v>
      </c>
      <c r="R58" s="288">
        <f t="shared" si="52"/>
        <v>0</v>
      </c>
      <c r="S58" s="288">
        <f t="shared" si="52"/>
        <v>0</v>
      </c>
      <c r="T58" s="288">
        <f t="shared" si="52"/>
        <v>0</v>
      </c>
      <c r="U58" s="288">
        <f t="shared" si="52"/>
        <v>0</v>
      </c>
      <c r="V58" s="288">
        <f t="shared" si="52"/>
        <v>0</v>
      </c>
      <c r="W58" s="288">
        <f t="shared" si="52"/>
        <v>0</v>
      </c>
      <c r="X58" s="288">
        <f t="shared" si="52"/>
        <v>0</v>
      </c>
      <c r="Y58" s="288">
        <f t="shared" si="52"/>
        <v>0</v>
      </c>
      <c r="Z58" s="288">
        <f t="shared" si="52"/>
        <v>0</v>
      </c>
      <c r="AA58" s="288">
        <f t="shared" si="52"/>
        <v>0</v>
      </c>
    </row>
    <row r="59" spans="2:27" x14ac:dyDescent="0.3">
      <c r="B59" s="281" t="s">
        <v>149</v>
      </c>
      <c r="C59" s="282"/>
      <c r="D59" s="282"/>
      <c r="E59" s="282"/>
      <c r="F59" s="282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</row>
    <row r="60" spans="2:27" x14ac:dyDescent="0.3">
      <c r="B60" s="284" t="s">
        <v>150</v>
      </c>
      <c r="C60" s="285"/>
      <c r="D60" s="286"/>
      <c r="E60" s="286"/>
      <c r="F60" s="287"/>
      <c r="G60" s="288">
        <v>0</v>
      </c>
      <c r="H60" s="288">
        <v>0</v>
      </c>
      <c r="I60" s="288">
        <v>0</v>
      </c>
      <c r="J60" s="288">
        <v>0</v>
      </c>
      <c r="K60" s="288">
        <v>0</v>
      </c>
      <c r="L60" s="288">
        <v>0</v>
      </c>
      <c r="M60" s="288">
        <v>0</v>
      </c>
      <c r="N60" s="288">
        <v>0</v>
      </c>
      <c r="O60" s="288">
        <v>0</v>
      </c>
      <c r="P60" s="288">
        <v>0</v>
      </c>
      <c r="Q60" s="288">
        <f>+$D60*8760*$E60</f>
        <v>0</v>
      </c>
      <c r="R60" s="288">
        <f t="shared" ref="R60:AA61" si="53">+$D60*8760*$E60</f>
        <v>0</v>
      </c>
      <c r="S60" s="288">
        <f t="shared" si="53"/>
        <v>0</v>
      </c>
      <c r="T60" s="288">
        <f t="shared" si="53"/>
        <v>0</v>
      </c>
      <c r="U60" s="288">
        <f t="shared" si="53"/>
        <v>0</v>
      </c>
      <c r="V60" s="288">
        <f t="shared" si="53"/>
        <v>0</v>
      </c>
      <c r="W60" s="288">
        <f t="shared" si="53"/>
        <v>0</v>
      </c>
      <c r="X60" s="288">
        <f t="shared" si="53"/>
        <v>0</v>
      </c>
      <c r="Y60" s="288">
        <f t="shared" si="53"/>
        <v>0</v>
      </c>
      <c r="Z60" s="288">
        <f t="shared" si="53"/>
        <v>0</v>
      </c>
      <c r="AA60" s="288">
        <f t="shared" si="53"/>
        <v>0</v>
      </c>
    </row>
    <row r="61" spans="2:27" x14ac:dyDescent="0.3">
      <c r="B61" s="284" t="s">
        <v>151</v>
      </c>
      <c r="C61" s="285"/>
      <c r="D61" s="286"/>
      <c r="E61" s="286"/>
      <c r="F61" s="287"/>
      <c r="G61" s="288">
        <v>0</v>
      </c>
      <c r="H61" s="288">
        <v>0</v>
      </c>
      <c r="I61" s="288">
        <v>0</v>
      </c>
      <c r="J61" s="288">
        <v>0</v>
      </c>
      <c r="K61" s="288">
        <v>0</v>
      </c>
      <c r="L61" s="288">
        <v>0</v>
      </c>
      <c r="M61" s="288">
        <v>0</v>
      </c>
      <c r="N61" s="288">
        <v>0</v>
      </c>
      <c r="O61" s="288">
        <v>0</v>
      </c>
      <c r="P61" s="288">
        <v>0</v>
      </c>
      <c r="Q61" s="288">
        <f>+$D61*8760*$E61</f>
        <v>0</v>
      </c>
      <c r="R61" s="288">
        <f t="shared" si="53"/>
        <v>0</v>
      </c>
      <c r="S61" s="288">
        <f t="shared" si="53"/>
        <v>0</v>
      </c>
      <c r="T61" s="288">
        <f t="shared" si="53"/>
        <v>0</v>
      </c>
      <c r="U61" s="288">
        <f t="shared" si="53"/>
        <v>0</v>
      </c>
      <c r="V61" s="288">
        <f t="shared" si="53"/>
        <v>0</v>
      </c>
      <c r="W61" s="288">
        <f t="shared" si="53"/>
        <v>0</v>
      </c>
      <c r="X61" s="288">
        <f t="shared" si="53"/>
        <v>0</v>
      </c>
      <c r="Y61" s="288">
        <f t="shared" si="53"/>
        <v>0</v>
      </c>
      <c r="Z61" s="288">
        <f t="shared" si="53"/>
        <v>0</v>
      </c>
      <c r="AA61" s="288">
        <f t="shared" si="53"/>
        <v>0</v>
      </c>
    </row>
    <row r="62" spans="2:27" x14ac:dyDescent="0.3">
      <c r="B62" s="284" t="s">
        <v>152</v>
      </c>
      <c r="C62" s="285"/>
      <c r="D62" s="286"/>
      <c r="E62" s="286"/>
      <c r="F62" s="287"/>
      <c r="G62" s="288">
        <v>0</v>
      </c>
      <c r="H62" s="288">
        <v>0</v>
      </c>
      <c r="I62" s="288">
        <v>0</v>
      </c>
      <c r="J62" s="288">
        <v>0</v>
      </c>
      <c r="K62" s="288">
        <v>0</v>
      </c>
      <c r="L62" s="288">
        <v>0</v>
      </c>
      <c r="M62" s="288">
        <v>0</v>
      </c>
      <c r="N62" s="288">
        <v>0</v>
      </c>
      <c r="O62" s="288">
        <v>0</v>
      </c>
      <c r="P62" s="288">
        <f>+$D62*8760*$E62</f>
        <v>0</v>
      </c>
      <c r="Q62" s="288">
        <f t="shared" ref="Q62:AA78" si="54">+$D62*8760*$E62</f>
        <v>0</v>
      </c>
      <c r="R62" s="288">
        <f t="shared" si="54"/>
        <v>0</v>
      </c>
      <c r="S62" s="288">
        <f t="shared" si="54"/>
        <v>0</v>
      </c>
      <c r="T62" s="288">
        <f t="shared" si="54"/>
        <v>0</v>
      </c>
      <c r="U62" s="288">
        <f t="shared" si="54"/>
        <v>0</v>
      </c>
      <c r="V62" s="288">
        <f t="shared" si="54"/>
        <v>0</v>
      </c>
      <c r="W62" s="288">
        <f t="shared" si="54"/>
        <v>0</v>
      </c>
      <c r="X62" s="288">
        <f t="shared" si="54"/>
        <v>0</v>
      </c>
      <c r="Y62" s="288">
        <f t="shared" si="54"/>
        <v>0</v>
      </c>
      <c r="Z62" s="288">
        <f t="shared" si="54"/>
        <v>0</v>
      </c>
      <c r="AA62" s="288">
        <f t="shared" si="54"/>
        <v>0</v>
      </c>
    </row>
    <row r="63" spans="2:27" x14ac:dyDescent="0.3">
      <c r="B63" s="284" t="s">
        <v>153</v>
      </c>
      <c r="C63" s="285"/>
      <c r="D63" s="286"/>
      <c r="E63" s="286"/>
      <c r="F63" s="287"/>
      <c r="G63" s="288">
        <v>0</v>
      </c>
      <c r="H63" s="288">
        <v>0</v>
      </c>
      <c r="I63" s="288">
        <v>0</v>
      </c>
      <c r="J63" s="288">
        <v>0</v>
      </c>
      <c r="K63" s="288">
        <v>0</v>
      </c>
      <c r="L63" s="288">
        <v>0</v>
      </c>
      <c r="M63" s="288">
        <v>0</v>
      </c>
      <c r="N63" s="288">
        <v>0</v>
      </c>
      <c r="O63" s="288">
        <v>0</v>
      </c>
      <c r="P63" s="288">
        <f>+$D63*8760*$E63</f>
        <v>0</v>
      </c>
      <c r="Q63" s="288">
        <f t="shared" si="54"/>
        <v>0</v>
      </c>
      <c r="R63" s="288">
        <f t="shared" si="54"/>
        <v>0</v>
      </c>
      <c r="S63" s="288">
        <f t="shared" si="54"/>
        <v>0</v>
      </c>
      <c r="T63" s="288">
        <f t="shared" si="54"/>
        <v>0</v>
      </c>
      <c r="U63" s="288">
        <f t="shared" si="54"/>
        <v>0</v>
      </c>
      <c r="V63" s="288">
        <f t="shared" si="54"/>
        <v>0</v>
      </c>
      <c r="W63" s="288">
        <f t="shared" si="54"/>
        <v>0</v>
      </c>
      <c r="X63" s="288">
        <f t="shared" si="54"/>
        <v>0</v>
      </c>
      <c r="Y63" s="288">
        <f t="shared" si="54"/>
        <v>0</v>
      </c>
      <c r="Z63" s="288">
        <f t="shared" si="54"/>
        <v>0</v>
      </c>
      <c r="AA63" s="288">
        <f t="shared" si="54"/>
        <v>0</v>
      </c>
    </row>
    <row r="64" spans="2:27" x14ac:dyDescent="0.3">
      <c r="B64" s="281" t="s">
        <v>154</v>
      </c>
      <c r="C64" s="282"/>
      <c r="D64" s="282"/>
      <c r="E64" s="282"/>
      <c r="F64" s="282"/>
      <c r="G64" s="283"/>
      <c r="H64" s="283"/>
      <c r="I64" s="283"/>
      <c r="J64" s="283"/>
      <c r="K64" s="283"/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  <c r="Z64" s="283"/>
      <c r="AA64" s="283"/>
    </row>
    <row r="65" spans="2:27" x14ac:dyDescent="0.3">
      <c r="B65" s="284" t="s">
        <v>155</v>
      </c>
      <c r="C65" s="285"/>
      <c r="D65" s="286"/>
      <c r="E65" s="286"/>
      <c r="F65" s="287"/>
      <c r="G65" s="288">
        <v>0</v>
      </c>
      <c r="H65" s="288">
        <v>0</v>
      </c>
      <c r="I65" s="288">
        <v>0</v>
      </c>
      <c r="J65" s="288">
        <v>0</v>
      </c>
      <c r="K65" s="288">
        <v>0</v>
      </c>
      <c r="L65" s="288">
        <v>0</v>
      </c>
      <c r="M65" s="288">
        <v>0</v>
      </c>
      <c r="N65" s="288">
        <v>0</v>
      </c>
      <c r="O65" s="288">
        <v>0</v>
      </c>
      <c r="P65" s="288">
        <v>0</v>
      </c>
      <c r="Q65" s="288">
        <f>+$D65*8760*$E65</f>
        <v>0</v>
      </c>
      <c r="R65" s="288">
        <f t="shared" ref="R65:AA65" si="55">+$D65*8760*$E65</f>
        <v>0</v>
      </c>
      <c r="S65" s="288">
        <f t="shared" si="55"/>
        <v>0</v>
      </c>
      <c r="T65" s="288">
        <f t="shared" si="55"/>
        <v>0</v>
      </c>
      <c r="U65" s="288">
        <f t="shared" si="55"/>
        <v>0</v>
      </c>
      <c r="V65" s="288">
        <f t="shared" si="55"/>
        <v>0</v>
      </c>
      <c r="W65" s="288">
        <f t="shared" si="55"/>
        <v>0</v>
      </c>
      <c r="X65" s="288">
        <f t="shared" si="55"/>
        <v>0</v>
      </c>
      <c r="Y65" s="288">
        <f t="shared" si="55"/>
        <v>0</v>
      </c>
      <c r="Z65" s="288">
        <f t="shared" si="55"/>
        <v>0</v>
      </c>
      <c r="AA65" s="288">
        <f t="shared" si="55"/>
        <v>0</v>
      </c>
    </row>
    <row r="66" spans="2:27" x14ac:dyDescent="0.3">
      <c r="B66" s="284" t="s">
        <v>156</v>
      </c>
      <c r="C66" s="285"/>
      <c r="D66" s="286"/>
      <c r="E66" s="286"/>
      <c r="F66" s="287"/>
      <c r="G66" s="288">
        <v>0</v>
      </c>
      <c r="H66" s="288">
        <v>0</v>
      </c>
      <c r="I66" s="288">
        <v>0</v>
      </c>
      <c r="J66" s="288">
        <v>0</v>
      </c>
      <c r="K66" s="288">
        <v>0</v>
      </c>
      <c r="L66" s="288">
        <v>0</v>
      </c>
      <c r="M66" s="288">
        <v>0</v>
      </c>
      <c r="N66" s="288">
        <v>0</v>
      </c>
      <c r="O66" s="288">
        <v>0</v>
      </c>
      <c r="P66" s="288">
        <v>0</v>
      </c>
      <c r="Q66" s="288">
        <f t="shared" si="54"/>
        <v>0</v>
      </c>
      <c r="R66" s="288">
        <f t="shared" si="54"/>
        <v>0</v>
      </c>
      <c r="S66" s="288">
        <f t="shared" si="54"/>
        <v>0</v>
      </c>
      <c r="T66" s="288">
        <f t="shared" si="54"/>
        <v>0</v>
      </c>
      <c r="U66" s="288">
        <f t="shared" si="54"/>
        <v>0</v>
      </c>
      <c r="V66" s="288">
        <f t="shared" si="54"/>
        <v>0</v>
      </c>
      <c r="W66" s="288">
        <f t="shared" si="54"/>
        <v>0</v>
      </c>
      <c r="X66" s="288">
        <f t="shared" si="54"/>
        <v>0</v>
      </c>
      <c r="Y66" s="288">
        <f t="shared" si="54"/>
        <v>0</v>
      </c>
      <c r="Z66" s="288">
        <f t="shared" si="54"/>
        <v>0</v>
      </c>
      <c r="AA66" s="288">
        <f t="shared" si="54"/>
        <v>0</v>
      </c>
    </row>
    <row r="67" spans="2:27" x14ac:dyDescent="0.3">
      <c r="B67" s="284" t="s">
        <v>157</v>
      </c>
      <c r="C67" s="285"/>
      <c r="D67" s="286"/>
      <c r="E67" s="286"/>
      <c r="F67" s="287"/>
      <c r="G67" s="288">
        <v>0</v>
      </c>
      <c r="H67" s="288">
        <v>0</v>
      </c>
      <c r="I67" s="288">
        <v>0</v>
      </c>
      <c r="J67" s="288">
        <v>0</v>
      </c>
      <c r="K67" s="288">
        <v>0</v>
      </c>
      <c r="L67" s="288">
        <v>0</v>
      </c>
      <c r="M67" s="288">
        <v>0</v>
      </c>
      <c r="N67" s="288">
        <v>0</v>
      </c>
      <c r="O67" s="288">
        <v>0</v>
      </c>
      <c r="P67" s="288">
        <f>+$D67*8760*$E67</f>
        <v>0</v>
      </c>
      <c r="Q67" s="288">
        <f t="shared" si="54"/>
        <v>0</v>
      </c>
      <c r="R67" s="288">
        <f t="shared" si="54"/>
        <v>0</v>
      </c>
      <c r="S67" s="288">
        <f t="shared" si="54"/>
        <v>0</v>
      </c>
      <c r="T67" s="288">
        <f t="shared" si="54"/>
        <v>0</v>
      </c>
      <c r="U67" s="288">
        <f t="shared" si="54"/>
        <v>0</v>
      </c>
      <c r="V67" s="288">
        <f t="shared" si="54"/>
        <v>0</v>
      </c>
      <c r="W67" s="288">
        <f t="shared" si="54"/>
        <v>0</v>
      </c>
      <c r="X67" s="288">
        <f t="shared" si="54"/>
        <v>0</v>
      </c>
      <c r="Y67" s="288">
        <f t="shared" si="54"/>
        <v>0</v>
      </c>
      <c r="Z67" s="288">
        <f t="shared" si="54"/>
        <v>0</v>
      </c>
      <c r="AA67" s="288">
        <f t="shared" si="54"/>
        <v>0</v>
      </c>
    </row>
    <row r="68" spans="2:27" x14ac:dyDescent="0.3">
      <c r="B68" s="284" t="s">
        <v>158</v>
      </c>
      <c r="C68" s="285"/>
      <c r="D68" s="286"/>
      <c r="E68" s="286"/>
      <c r="F68" s="287"/>
      <c r="G68" s="288">
        <v>0</v>
      </c>
      <c r="H68" s="288">
        <v>0</v>
      </c>
      <c r="I68" s="288">
        <v>0</v>
      </c>
      <c r="J68" s="288">
        <v>0</v>
      </c>
      <c r="K68" s="288">
        <v>0</v>
      </c>
      <c r="L68" s="288">
        <v>0</v>
      </c>
      <c r="M68" s="288">
        <v>0</v>
      </c>
      <c r="N68" s="288">
        <v>0</v>
      </c>
      <c r="O68" s="288">
        <v>0</v>
      </c>
      <c r="P68" s="288">
        <f>+$D68*8760*$E68</f>
        <v>0</v>
      </c>
      <c r="Q68" s="288">
        <f t="shared" si="54"/>
        <v>0</v>
      </c>
      <c r="R68" s="288">
        <f t="shared" si="54"/>
        <v>0</v>
      </c>
      <c r="S68" s="288">
        <f t="shared" si="54"/>
        <v>0</v>
      </c>
      <c r="T68" s="288">
        <f t="shared" si="54"/>
        <v>0</v>
      </c>
      <c r="U68" s="288">
        <f t="shared" si="54"/>
        <v>0</v>
      </c>
      <c r="V68" s="288">
        <f t="shared" si="54"/>
        <v>0</v>
      </c>
      <c r="W68" s="288">
        <f t="shared" si="54"/>
        <v>0</v>
      </c>
      <c r="X68" s="288">
        <f t="shared" si="54"/>
        <v>0</v>
      </c>
      <c r="Y68" s="288">
        <f t="shared" si="54"/>
        <v>0</v>
      </c>
      <c r="Z68" s="288">
        <f t="shared" si="54"/>
        <v>0</v>
      </c>
      <c r="AA68" s="288">
        <f t="shared" si="54"/>
        <v>0</v>
      </c>
    </row>
    <row r="69" spans="2:27" x14ac:dyDescent="0.3">
      <c r="B69" s="281" t="s">
        <v>159</v>
      </c>
      <c r="C69" s="282"/>
      <c r="D69" s="282"/>
      <c r="E69" s="282"/>
      <c r="F69" s="282"/>
      <c r="G69" s="283"/>
      <c r="H69" s="283"/>
      <c r="I69" s="283"/>
      <c r="J69" s="283"/>
      <c r="K69" s="283"/>
      <c r="L69" s="283"/>
      <c r="M69" s="283"/>
      <c r="N69" s="283"/>
      <c r="O69" s="283"/>
      <c r="P69" s="283"/>
      <c r="Q69" s="283"/>
      <c r="R69" s="283"/>
      <c r="S69" s="283"/>
      <c r="T69" s="283"/>
      <c r="U69" s="283"/>
      <c r="V69" s="283"/>
      <c r="W69" s="283"/>
      <c r="X69" s="283"/>
      <c r="Y69" s="283"/>
      <c r="Z69" s="283"/>
      <c r="AA69" s="283"/>
    </row>
    <row r="70" spans="2:27" x14ac:dyDescent="0.3">
      <c r="B70" s="284" t="str">
        <f>+B69</f>
        <v>Guaracachi</v>
      </c>
      <c r="C70" s="285"/>
      <c r="D70" s="286"/>
      <c r="E70" s="286"/>
      <c r="F70" s="287"/>
      <c r="G70" s="288">
        <v>0</v>
      </c>
      <c r="H70" s="288">
        <v>0</v>
      </c>
      <c r="I70" s="288">
        <v>0</v>
      </c>
      <c r="J70" s="288">
        <v>0</v>
      </c>
      <c r="K70" s="288">
        <v>0</v>
      </c>
      <c r="L70" s="288">
        <v>0</v>
      </c>
      <c r="M70" s="288">
        <v>0</v>
      </c>
      <c r="N70" s="288">
        <v>0</v>
      </c>
      <c r="O70" s="288">
        <v>0</v>
      </c>
      <c r="P70" s="288">
        <v>0</v>
      </c>
      <c r="Q70" s="288">
        <f>+$D70*8760*$E70</f>
        <v>0</v>
      </c>
      <c r="R70" s="288">
        <f t="shared" ref="R70:AA70" si="56">+$D70*8760*$E70</f>
        <v>0</v>
      </c>
      <c r="S70" s="288">
        <f t="shared" si="56"/>
        <v>0</v>
      </c>
      <c r="T70" s="288">
        <f t="shared" si="56"/>
        <v>0</v>
      </c>
      <c r="U70" s="288">
        <f t="shared" si="56"/>
        <v>0</v>
      </c>
      <c r="V70" s="288">
        <f t="shared" si="56"/>
        <v>0</v>
      </c>
      <c r="W70" s="288">
        <f t="shared" si="56"/>
        <v>0</v>
      </c>
      <c r="X70" s="288">
        <f t="shared" si="56"/>
        <v>0</v>
      </c>
      <c r="Y70" s="288">
        <f t="shared" si="56"/>
        <v>0</v>
      </c>
      <c r="Z70" s="288">
        <f t="shared" si="56"/>
        <v>0</v>
      </c>
      <c r="AA70" s="288">
        <f t="shared" si="56"/>
        <v>0</v>
      </c>
    </row>
    <row r="71" spans="2:27" x14ac:dyDescent="0.3">
      <c r="B71" s="281" t="s">
        <v>160</v>
      </c>
      <c r="C71" s="282"/>
      <c r="D71" s="282"/>
      <c r="E71" s="282"/>
      <c r="F71" s="282"/>
      <c r="G71" s="283"/>
      <c r="H71" s="283"/>
      <c r="I71" s="283"/>
      <c r="J71" s="283"/>
      <c r="K71" s="283"/>
      <c r="L71" s="283"/>
      <c r="M71" s="283"/>
      <c r="N71" s="283"/>
      <c r="O71" s="283"/>
      <c r="P71" s="283"/>
      <c r="Q71" s="283"/>
      <c r="R71" s="283"/>
      <c r="S71" s="283"/>
      <c r="T71" s="283"/>
      <c r="U71" s="283"/>
      <c r="V71" s="283"/>
      <c r="W71" s="283"/>
      <c r="X71" s="283"/>
      <c r="Y71" s="283"/>
      <c r="Z71" s="283"/>
      <c r="AA71" s="283"/>
    </row>
    <row r="72" spans="2:27" x14ac:dyDescent="0.3">
      <c r="B72" s="284" t="str">
        <f>+B71</f>
        <v>Santa Cruz</v>
      </c>
      <c r="C72" s="285"/>
      <c r="D72" s="286"/>
      <c r="E72" s="286"/>
      <c r="F72" s="287"/>
      <c r="G72" s="288">
        <v>0</v>
      </c>
      <c r="H72" s="288">
        <v>0</v>
      </c>
      <c r="I72" s="288">
        <v>0</v>
      </c>
      <c r="J72" s="288">
        <v>0</v>
      </c>
      <c r="K72" s="288">
        <v>0</v>
      </c>
      <c r="L72" s="288">
        <v>0</v>
      </c>
      <c r="M72" s="288">
        <v>0</v>
      </c>
      <c r="N72" s="288">
        <v>0</v>
      </c>
      <c r="O72" s="288">
        <v>0</v>
      </c>
      <c r="P72" s="288">
        <f>+$D72*8760*$E72</f>
        <v>0</v>
      </c>
      <c r="Q72" s="288">
        <f t="shared" si="54"/>
        <v>0</v>
      </c>
      <c r="R72" s="288">
        <f t="shared" si="54"/>
        <v>0</v>
      </c>
      <c r="S72" s="288">
        <f t="shared" si="54"/>
        <v>0</v>
      </c>
      <c r="T72" s="288">
        <f t="shared" si="54"/>
        <v>0</v>
      </c>
      <c r="U72" s="288">
        <f t="shared" si="54"/>
        <v>0</v>
      </c>
      <c r="V72" s="288">
        <f t="shared" si="54"/>
        <v>0</v>
      </c>
      <c r="W72" s="288">
        <f t="shared" si="54"/>
        <v>0</v>
      </c>
      <c r="X72" s="288">
        <f t="shared" si="54"/>
        <v>0</v>
      </c>
      <c r="Y72" s="288">
        <f t="shared" si="54"/>
        <v>0</v>
      </c>
      <c r="Z72" s="288">
        <f t="shared" si="54"/>
        <v>0</v>
      </c>
      <c r="AA72" s="288">
        <f t="shared" si="54"/>
        <v>0</v>
      </c>
    </row>
    <row r="73" spans="2:27" x14ac:dyDescent="0.3">
      <c r="B73" s="281" t="s">
        <v>161</v>
      </c>
      <c r="C73" s="282"/>
      <c r="D73" s="282"/>
      <c r="E73" s="282"/>
      <c r="F73" s="282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</row>
    <row r="74" spans="2:27" x14ac:dyDescent="0.3">
      <c r="B74" s="284" t="str">
        <f>+B73</f>
        <v>Carrasco</v>
      </c>
      <c r="C74" s="285"/>
      <c r="D74" s="286"/>
      <c r="E74" s="286"/>
      <c r="F74" s="287"/>
      <c r="G74" s="288">
        <v>0</v>
      </c>
      <c r="H74" s="288">
        <v>0</v>
      </c>
      <c r="I74" s="288">
        <v>0</v>
      </c>
      <c r="J74" s="288">
        <v>0</v>
      </c>
      <c r="K74" s="288">
        <v>0</v>
      </c>
      <c r="L74" s="288">
        <v>0</v>
      </c>
      <c r="M74" s="288">
        <v>0</v>
      </c>
      <c r="N74" s="288">
        <v>0</v>
      </c>
      <c r="O74" s="288">
        <v>0</v>
      </c>
      <c r="P74" s="288">
        <f>+$D74*8760*$E74</f>
        <v>0</v>
      </c>
      <c r="Q74" s="288">
        <f t="shared" si="54"/>
        <v>0</v>
      </c>
      <c r="R74" s="288">
        <f t="shared" si="54"/>
        <v>0</v>
      </c>
      <c r="S74" s="288">
        <f t="shared" si="54"/>
        <v>0</v>
      </c>
      <c r="T74" s="288">
        <f t="shared" si="54"/>
        <v>0</v>
      </c>
      <c r="U74" s="288">
        <f t="shared" si="54"/>
        <v>0</v>
      </c>
      <c r="V74" s="288">
        <f t="shared" si="54"/>
        <v>0</v>
      </c>
      <c r="W74" s="288">
        <f t="shared" si="54"/>
        <v>0</v>
      </c>
      <c r="X74" s="288">
        <f t="shared" si="54"/>
        <v>0</v>
      </c>
      <c r="Y74" s="288">
        <f t="shared" si="54"/>
        <v>0</v>
      </c>
      <c r="Z74" s="288">
        <f t="shared" si="54"/>
        <v>0</v>
      </c>
      <c r="AA74" s="288">
        <f t="shared" si="54"/>
        <v>0</v>
      </c>
    </row>
    <row r="75" spans="2:27" x14ac:dyDescent="0.3">
      <c r="B75" s="281" t="s">
        <v>162</v>
      </c>
      <c r="C75" s="282"/>
      <c r="D75" s="282"/>
      <c r="E75" s="282"/>
      <c r="F75" s="282"/>
      <c r="G75" s="283"/>
      <c r="H75" s="283"/>
      <c r="I75" s="283"/>
      <c r="J75" s="283"/>
      <c r="K75" s="283"/>
      <c r="L75" s="283"/>
      <c r="M75" s="283"/>
      <c r="N75" s="283"/>
      <c r="O75" s="283"/>
      <c r="P75" s="283"/>
      <c r="Q75" s="283"/>
      <c r="R75" s="283"/>
      <c r="S75" s="283"/>
      <c r="T75" s="283"/>
      <c r="U75" s="283"/>
      <c r="V75" s="283"/>
      <c r="W75" s="283"/>
      <c r="X75" s="283"/>
      <c r="Y75" s="283"/>
      <c r="Z75" s="283"/>
      <c r="AA75" s="283"/>
    </row>
    <row r="76" spans="2:27" x14ac:dyDescent="0.3">
      <c r="B76" s="284" t="str">
        <f>+B75</f>
        <v>Natural Gas A</v>
      </c>
      <c r="C76" s="285"/>
      <c r="D76" s="289"/>
      <c r="E76" s="290"/>
      <c r="F76" s="290"/>
      <c r="G76" s="288">
        <f t="shared" ref="G76:L78" si="57">+IF($C76&lt;=G$52,$D76*8760*$E76,0)</f>
        <v>0</v>
      </c>
      <c r="H76" s="288">
        <f t="shared" si="57"/>
        <v>0</v>
      </c>
      <c r="I76" s="288">
        <f t="shared" si="57"/>
        <v>0</v>
      </c>
      <c r="J76" s="288">
        <f t="shared" si="57"/>
        <v>0</v>
      </c>
      <c r="K76" s="288">
        <f t="shared" si="57"/>
        <v>0</v>
      </c>
      <c r="L76" s="288">
        <f t="shared" si="57"/>
        <v>0</v>
      </c>
      <c r="M76" s="288">
        <f>+IF($C76&lt;=M$52,$D76*8760*$E76,0)</f>
        <v>0</v>
      </c>
      <c r="N76" s="288">
        <f t="shared" ref="N76:O78" si="58">+IF($C76&lt;=N$52,$D76*8760*$E76,0)</f>
        <v>0</v>
      </c>
      <c r="O76" s="288">
        <f t="shared" si="58"/>
        <v>0</v>
      </c>
      <c r="P76" s="288">
        <f>+$D76*8760*$E76</f>
        <v>0</v>
      </c>
      <c r="Q76" s="288">
        <f t="shared" si="54"/>
        <v>0</v>
      </c>
      <c r="R76" s="288">
        <f t="shared" si="54"/>
        <v>0</v>
      </c>
      <c r="S76" s="288">
        <f t="shared" si="54"/>
        <v>0</v>
      </c>
      <c r="T76" s="288">
        <f t="shared" si="54"/>
        <v>0</v>
      </c>
      <c r="U76" s="288">
        <f t="shared" si="54"/>
        <v>0</v>
      </c>
      <c r="V76" s="288">
        <f t="shared" si="54"/>
        <v>0</v>
      </c>
      <c r="W76" s="288">
        <f t="shared" si="54"/>
        <v>0</v>
      </c>
      <c r="X76" s="288">
        <f t="shared" si="54"/>
        <v>0</v>
      </c>
      <c r="Y76" s="288">
        <f t="shared" si="54"/>
        <v>0</v>
      </c>
      <c r="Z76" s="288">
        <f t="shared" si="54"/>
        <v>0</v>
      </c>
      <c r="AA76" s="288">
        <f t="shared" si="54"/>
        <v>0</v>
      </c>
    </row>
    <row r="77" spans="2:27" x14ac:dyDescent="0.3">
      <c r="B77" s="281" t="s">
        <v>163</v>
      </c>
      <c r="C77" s="282"/>
      <c r="D77" s="282"/>
      <c r="E77" s="282"/>
      <c r="F77" s="282"/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283"/>
      <c r="R77" s="283"/>
      <c r="S77" s="283"/>
      <c r="T77" s="283"/>
      <c r="U77" s="283"/>
      <c r="V77" s="283"/>
      <c r="W77" s="283"/>
      <c r="X77" s="283"/>
      <c r="Y77" s="283"/>
      <c r="Z77" s="283"/>
      <c r="AA77" s="283"/>
    </row>
    <row r="78" spans="2:27" x14ac:dyDescent="0.3">
      <c r="B78" s="284" t="str">
        <f>+B77</f>
        <v>Natural Gas B</v>
      </c>
      <c r="C78" s="285"/>
      <c r="D78" s="289"/>
      <c r="E78" s="290"/>
      <c r="F78" s="290"/>
      <c r="G78" s="288">
        <f t="shared" si="57"/>
        <v>0</v>
      </c>
      <c r="H78" s="288">
        <f t="shared" si="57"/>
        <v>0</v>
      </c>
      <c r="I78" s="288">
        <f t="shared" si="57"/>
        <v>0</v>
      </c>
      <c r="J78" s="288">
        <f t="shared" si="57"/>
        <v>0</v>
      </c>
      <c r="K78" s="288">
        <f t="shared" si="57"/>
        <v>0</v>
      </c>
      <c r="L78" s="288">
        <f t="shared" si="57"/>
        <v>0</v>
      </c>
      <c r="M78" s="288">
        <f>+IF($C78&lt;=M$52,$D78*8760*$E78,0)</f>
        <v>0</v>
      </c>
      <c r="N78" s="288">
        <f t="shared" si="58"/>
        <v>0</v>
      </c>
      <c r="O78" s="288">
        <f t="shared" si="58"/>
        <v>0</v>
      </c>
      <c r="P78" s="288">
        <f>+$D78*8760*$E78</f>
        <v>0</v>
      </c>
      <c r="Q78" s="288">
        <f t="shared" si="54"/>
        <v>0</v>
      </c>
      <c r="R78" s="288">
        <f t="shared" si="54"/>
        <v>0</v>
      </c>
      <c r="S78" s="288">
        <f t="shared" si="54"/>
        <v>0</v>
      </c>
      <c r="T78" s="288">
        <f t="shared" si="54"/>
        <v>0</v>
      </c>
      <c r="U78" s="288">
        <f t="shared" si="54"/>
        <v>0</v>
      </c>
      <c r="V78" s="288">
        <f t="shared" si="54"/>
        <v>0</v>
      </c>
      <c r="W78" s="288">
        <f t="shared" si="54"/>
        <v>0</v>
      </c>
      <c r="X78" s="288">
        <f t="shared" si="54"/>
        <v>0</v>
      </c>
      <c r="Y78" s="288">
        <f t="shared" si="54"/>
        <v>0</v>
      </c>
      <c r="Z78" s="288">
        <f t="shared" si="54"/>
        <v>0</v>
      </c>
      <c r="AA78" s="288">
        <f t="shared" si="54"/>
        <v>0</v>
      </c>
    </row>
    <row r="79" spans="2:27" x14ac:dyDescent="0.3">
      <c r="B79" s="219"/>
      <c r="C79" s="219"/>
      <c r="D79" s="219"/>
      <c r="E79" s="219"/>
      <c r="F79" s="219"/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  <c r="X79" s="268"/>
      <c r="Y79" s="268"/>
      <c r="Z79" s="268"/>
      <c r="AA79" s="268"/>
    </row>
    <row r="80" spans="2:27" x14ac:dyDescent="0.3">
      <c r="B80" s="243"/>
      <c r="C80" s="211"/>
      <c r="D80" s="211"/>
      <c r="E80" s="211"/>
      <c r="F80" s="244"/>
      <c r="G80" s="212">
        <v>2010</v>
      </c>
      <c r="H80" s="212">
        <v>2011</v>
      </c>
      <c r="I80" s="212">
        <v>2012</v>
      </c>
      <c r="J80" s="212">
        <v>2013</v>
      </c>
      <c r="K80" s="212">
        <v>2014</v>
      </c>
      <c r="L80" s="212">
        <v>2015</v>
      </c>
      <c r="M80" s="212">
        <v>2016</v>
      </c>
      <c r="N80" s="212">
        <v>2017</v>
      </c>
      <c r="O80" s="212">
        <v>2018</v>
      </c>
      <c r="P80" s="212">
        <v>2019</v>
      </c>
      <c r="Q80" s="212">
        <v>2020</v>
      </c>
      <c r="R80" s="212">
        <v>2021</v>
      </c>
      <c r="S80" s="212">
        <v>2022</v>
      </c>
      <c r="T80" s="212">
        <v>2023</v>
      </c>
      <c r="U80" s="212">
        <v>2024</v>
      </c>
      <c r="V80" s="212">
        <v>2025</v>
      </c>
      <c r="W80" s="212">
        <v>2026</v>
      </c>
      <c r="X80" s="212">
        <v>2027</v>
      </c>
      <c r="Y80" s="212">
        <v>2028</v>
      </c>
      <c r="Z80" s="212">
        <v>2029</v>
      </c>
      <c r="AA80" s="212">
        <v>2030</v>
      </c>
    </row>
    <row r="81" spans="2:27" ht="28.8" x14ac:dyDescent="0.3">
      <c r="B81" s="291" t="s">
        <v>164</v>
      </c>
      <c r="C81" s="292" t="s">
        <v>139</v>
      </c>
      <c r="D81" s="274" t="s">
        <v>140</v>
      </c>
      <c r="E81" s="293" t="s">
        <v>141</v>
      </c>
      <c r="F81" s="293"/>
      <c r="G81" s="294" t="s">
        <v>143</v>
      </c>
      <c r="H81" s="294" t="s">
        <v>143</v>
      </c>
      <c r="I81" s="294" t="s">
        <v>143</v>
      </c>
      <c r="J81" s="294" t="s">
        <v>143</v>
      </c>
      <c r="K81" s="294" t="s">
        <v>143</v>
      </c>
      <c r="L81" s="294" t="s">
        <v>143</v>
      </c>
      <c r="M81" s="294" t="s">
        <v>143</v>
      </c>
      <c r="N81" s="294" t="s">
        <v>143</v>
      </c>
      <c r="O81" s="294" t="s">
        <v>143</v>
      </c>
      <c r="P81" s="294" t="s">
        <v>143</v>
      </c>
      <c r="Q81" s="294" t="s">
        <v>143</v>
      </c>
      <c r="R81" s="294" t="s">
        <v>143</v>
      </c>
      <c r="S81" s="294" t="s">
        <v>143</v>
      </c>
      <c r="T81" s="294" t="s">
        <v>143</v>
      </c>
      <c r="U81" s="294" t="s">
        <v>143</v>
      </c>
      <c r="V81" s="294" t="s">
        <v>143</v>
      </c>
      <c r="W81" s="294" t="s">
        <v>143</v>
      </c>
      <c r="X81" s="294" t="s">
        <v>143</v>
      </c>
      <c r="Y81" s="294" t="s">
        <v>143</v>
      </c>
      <c r="Z81" s="294" t="s">
        <v>143</v>
      </c>
      <c r="AA81" s="294" t="s">
        <v>143</v>
      </c>
    </row>
    <row r="82" spans="2:27" x14ac:dyDescent="0.3">
      <c r="B82" s="295" t="s">
        <v>165</v>
      </c>
      <c r="C82" s="295"/>
      <c r="D82" s="295"/>
      <c r="E82" s="295"/>
      <c r="F82" s="295"/>
      <c r="G82" s="296">
        <f t="shared" ref="G82:AA82" si="59">SUM(G84:G127)</f>
        <v>0</v>
      </c>
      <c r="H82" s="296">
        <f t="shared" si="59"/>
        <v>0</v>
      </c>
      <c r="I82" s="296">
        <f t="shared" si="59"/>
        <v>0</v>
      </c>
      <c r="J82" s="296">
        <f t="shared" si="59"/>
        <v>0</v>
      </c>
      <c r="K82" s="296">
        <f t="shared" si="59"/>
        <v>0</v>
      </c>
      <c r="L82" s="296">
        <f t="shared" si="59"/>
        <v>0</v>
      </c>
      <c r="M82" s="296">
        <f t="shared" si="59"/>
        <v>0</v>
      </c>
      <c r="N82" s="296">
        <f t="shared" si="59"/>
        <v>0</v>
      </c>
      <c r="O82" s="296">
        <f t="shared" si="59"/>
        <v>240900</v>
      </c>
      <c r="P82" s="296">
        <f t="shared" si="59"/>
        <v>543120</v>
      </c>
      <c r="Q82" s="296">
        <f t="shared" si="59"/>
        <v>2938542</v>
      </c>
      <c r="R82" s="296">
        <f t="shared" si="59"/>
        <v>5103138</v>
      </c>
      <c r="S82" s="296">
        <f t="shared" si="59"/>
        <v>5103138</v>
      </c>
      <c r="T82" s="296">
        <f t="shared" si="59"/>
        <v>5103138</v>
      </c>
      <c r="U82" s="296">
        <f t="shared" si="59"/>
        <v>5103138</v>
      </c>
      <c r="V82" s="296">
        <f t="shared" si="59"/>
        <v>11200098</v>
      </c>
      <c r="W82" s="296">
        <f t="shared" si="59"/>
        <v>11200098</v>
      </c>
      <c r="X82" s="296">
        <f t="shared" si="59"/>
        <v>11200098</v>
      </c>
      <c r="Y82" s="296">
        <f t="shared" si="59"/>
        <v>11200098</v>
      </c>
      <c r="Z82" s="296">
        <f t="shared" si="59"/>
        <v>33205611.600000001</v>
      </c>
      <c r="AA82" s="296">
        <f t="shared" si="59"/>
        <v>40564011.600000001</v>
      </c>
    </row>
    <row r="83" spans="2:27" x14ac:dyDescent="0.3">
      <c r="B83" s="297" t="s">
        <v>166</v>
      </c>
      <c r="C83" s="297"/>
      <c r="D83" s="297"/>
      <c r="E83" s="297"/>
      <c r="F83" s="297"/>
      <c r="G83" s="298"/>
      <c r="H83" s="298"/>
      <c r="I83" s="298"/>
      <c r="J83" s="298"/>
      <c r="K83" s="298"/>
      <c r="L83" s="298"/>
      <c r="M83" s="298"/>
      <c r="N83" s="298"/>
      <c r="O83" s="298"/>
      <c r="P83" s="298"/>
      <c r="Q83" s="298"/>
      <c r="R83" s="298"/>
      <c r="S83" s="298"/>
      <c r="T83" s="298"/>
      <c r="U83" s="298"/>
      <c r="V83" s="298"/>
      <c r="W83" s="298"/>
      <c r="X83" s="298"/>
      <c r="Y83" s="298"/>
      <c r="Z83" s="298"/>
      <c r="AA83" s="298"/>
    </row>
    <row r="84" spans="2:27" x14ac:dyDescent="0.3">
      <c r="B84" s="299" t="s">
        <v>167</v>
      </c>
      <c r="C84" s="300">
        <v>2018</v>
      </c>
      <c r="D84" s="286">
        <v>55</v>
      </c>
      <c r="E84" s="300">
        <v>0.5</v>
      </c>
      <c r="F84" s="300"/>
      <c r="G84" s="288">
        <f t="shared" ref="G84:V109" si="60">+IF($C84&lt;=G$52,$D84*8760*$E84,0)</f>
        <v>0</v>
      </c>
      <c r="H84" s="288">
        <f t="shared" si="60"/>
        <v>0</v>
      </c>
      <c r="I84" s="288">
        <f t="shared" si="60"/>
        <v>0</v>
      </c>
      <c r="J84" s="288">
        <f t="shared" si="60"/>
        <v>0</v>
      </c>
      <c r="K84" s="288">
        <f t="shared" si="60"/>
        <v>0</v>
      </c>
      <c r="L84" s="288">
        <f t="shared" si="60"/>
        <v>0</v>
      </c>
      <c r="M84" s="288">
        <f t="shared" si="60"/>
        <v>0</v>
      </c>
      <c r="N84" s="288">
        <f t="shared" si="60"/>
        <v>0</v>
      </c>
      <c r="O84" s="288">
        <f t="shared" si="60"/>
        <v>240900</v>
      </c>
      <c r="P84" s="288">
        <f t="shared" si="60"/>
        <v>240900</v>
      </c>
      <c r="Q84" s="288">
        <f t="shared" si="60"/>
        <v>240900</v>
      </c>
      <c r="R84" s="288">
        <f t="shared" si="60"/>
        <v>240900</v>
      </c>
      <c r="S84" s="288">
        <f t="shared" si="60"/>
        <v>240900</v>
      </c>
      <c r="T84" s="288">
        <f t="shared" si="60"/>
        <v>240900</v>
      </c>
      <c r="U84" s="288">
        <f t="shared" si="60"/>
        <v>240900</v>
      </c>
      <c r="V84" s="288">
        <f t="shared" si="60"/>
        <v>240900</v>
      </c>
      <c r="W84" s="288">
        <f t="shared" ref="W84:AA127" si="61">+IF($C84&lt;=W$52,$D84*8760*$E84,0)</f>
        <v>240900</v>
      </c>
      <c r="X84" s="288">
        <f t="shared" si="61"/>
        <v>240900</v>
      </c>
      <c r="Y84" s="288">
        <f t="shared" si="61"/>
        <v>240900</v>
      </c>
      <c r="Z84" s="288">
        <f t="shared" si="61"/>
        <v>240900</v>
      </c>
      <c r="AA84" s="288">
        <f t="shared" si="61"/>
        <v>240900</v>
      </c>
    </row>
    <row r="85" spans="2:27" x14ac:dyDescent="0.3">
      <c r="B85" s="299" t="s">
        <v>168</v>
      </c>
      <c r="C85" s="300">
        <v>2019</v>
      </c>
      <c r="D85" s="286">
        <v>69</v>
      </c>
      <c r="E85" s="300">
        <v>0.5</v>
      </c>
      <c r="F85" s="300"/>
      <c r="G85" s="288">
        <f t="shared" si="60"/>
        <v>0</v>
      </c>
      <c r="H85" s="288">
        <f t="shared" si="60"/>
        <v>0</v>
      </c>
      <c r="I85" s="288">
        <f t="shared" si="60"/>
        <v>0</v>
      </c>
      <c r="J85" s="288">
        <f t="shared" si="60"/>
        <v>0</v>
      </c>
      <c r="K85" s="288">
        <f t="shared" si="60"/>
        <v>0</v>
      </c>
      <c r="L85" s="288">
        <f t="shared" si="60"/>
        <v>0</v>
      </c>
      <c r="M85" s="288">
        <f t="shared" si="60"/>
        <v>0</v>
      </c>
      <c r="N85" s="288">
        <f t="shared" si="60"/>
        <v>0</v>
      </c>
      <c r="O85" s="288">
        <f t="shared" si="60"/>
        <v>0</v>
      </c>
      <c r="P85" s="288">
        <f t="shared" si="60"/>
        <v>302220</v>
      </c>
      <c r="Q85" s="288">
        <f t="shared" si="60"/>
        <v>302220</v>
      </c>
      <c r="R85" s="288">
        <f t="shared" si="60"/>
        <v>302220</v>
      </c>
      <c r="S85" s="288">
        <f t="shared" si="60"/>
        <v>302220</v>
      </c>
      <c r="T85" s="288">
        <f t="shared" si="60"/>
        <v>302220</v>
      </c>
      <c r="U85" s="288">
        <f t="shared" si="60"/>
        <v>302220</v>
      </c>
      <c r="V85" s="288">
        <f t="shared" si="60"/>
        <v>302220</v>
      </c>
      <c r="W85" s="288">
        <f t="shared" si="61"/>
        <v>302220</v>
      </c>
      <c r="X85" s="288">
        <f t="shared" si="61"/>
        <v>302220</v>
      </c>
      <c r="Y85" s="288">
        <f t="shared" si="61"/>
        <v>302220</v>
      </c>
      <c r="Z85" s="288">
        <f t="shared" si="61"/>
        <v>302220</v>
      </c>
      <c r="AA85" s="288">
        <f t="shared" si="61"/>
        <v>302220</v>
      </c>
    </row>
    <row r="86" spans="2:27" x14ac:dyDescent="0.3">
      <c r="B86" s="297" t="s">
        <v>169</v>
      </c>
      <c r="C86" s="297"/>
      <c r="D86" s="301"/>
      <c r="E86" s="297"/>
      <c r="F86" s="297"/>
      <c r="G86" s="298"/>
      <c r="H86" s="298"/>
      <c r="I86" s="298"/>
      <c r="J86" s="298"/>
      <c r="K86" s="298"/>
      <c r="L86" s="298"/>
      <c r="M86" s="298"/>
      <c r="N86" s="298"/>
      <c r="O86" s="298"/>
      <c r="P86" s="298"/>
      <c r="Q86" s="298"/>
      <c r="R86" s="298"/>
      <c r="S86" s="298"/>
      <c r="T86" s="298"/>
      <c r="U86" s="298"/>
      <c r="V86" s="298"/>
      <c r="W86" s="298"/>
      <c r="X86" s="298"/>
      <c r="Y86" s="298"/>
      <c r="Z86" s="298"/>
      <c r="AA86" s="298"/>
    </row>
    <row r="87" spans="2:27" x14ac:dyDescent="0.3">
      <c r="B87" s="299" t="s">
        <v>169</v>
      </c>
      <c r="C87" s="300">
        <v>2021</v>
      </c>
      <c r="D87" s="286">
        <v>198.6</v>
      </c>
      <c r="E87" s="300">
        <v>0.5</v>
      </c>
      <c r="F87" s="300"/>
      <c r="G87" s="288">
        <f t="shared" si="60"/>
        <v>0</v>
      </c>
      <c r="H87" s="288">
        <f t="shared" si="60"/>
        <v>0</v>
      </c>
      <c r="I87" s="288">
        <f t="shared" si="60"/>
        <v>0</v>
      </c>
      <c r="J87" s="288">
        <f t="shared" si="60"/>
        <v>0</v>
      </c>
      <c r="K87" s="288">
        <f t="shared" si="60"/>
        <v>0</v>
      </c>
      <c r="L87" s="288">
        <f t="shared" si="60"/>
        <v>0</v>
      </c>
      <c r="M87" s="288">
        <f t="shared" si="60"/>
        <v>0</v>
      </c>
      <c r="N87" s="288">
        <f t="shared" si="60"/>
        <v>0</v>
      </c>
      <c r="O87" s="288">
        <f t="shared" si="60"/>
        <v>0</v>
      </c>
      <c r="P87" s="288">
        <f t="shared" si="60"/>
        <v>0</v>
      </c>
      <c r="Q87" s="288">
        <f t="shared" si="60"/>
        <v>0</v>
      </c>
      <c r="R87" s="288">
        <f t="shared" si="60"/>
        <v>869868</v>
      </c>
      <c r="S87" s="288">
        <f t="shared" si="60"/>
        <v>869868</v>
      </c>
      <c r="T87" s="288">
        <f t="shared" si="60"/>
        <v>869868</v>
      </c>
      <c r="U87" s="288">
        <f t="shared" si="60"/>
        <v>869868</v>
      </c>
      <c r="V87" s="288">
        <f t="shared" si="60"/>
        <v>869868</v>
      </c>
      <c r="W87" s="288">
        <f t="shared" si="61"/>
        <v>869868</v>
      </c>
      <c r="X87" s="288">
        <f t="shared" si="61"/>
        <v>869868</v>
      </c>
      <c r="Y87" s="288">
        <f t="shared" si="61"/>
        <v>869868</v>
      </c>
      <c r="Z87" s="288">
        <f t="shared" si="61"/>
        <v>869868</v>
      </c>
      <c r="AA87" s="288">
        <f t="shared" si="61"/>
        <v>869868</v>
      </c>
    </row>
    <row r="88" spans="2:27" x14ac:dyDescent="0.3">
      <c r="B88" s="297" t="s">
        <v>170</v>
      </c>
      <c r="C88" s="297"/>
      <c r="D88" s="301"/>
      <c r="E88" s="297"/>
      <c r="F88" s="297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98"/>
      <c r="T88" s="298"/>
      <c r="U88" s="298"/>
      <c r="V88" s="298"/>
      <c r="W88" s="298"/>
      <c r="X88" s="298"/>
      <c r="Y88" s="298"/>
      <c r="Z88" s="298"/>
      <c r="AA88" s="298"/>
    </row>
    <row r="89" spans="2:27" x14ac:dyDescent="0.3">
      <c r="B89" s="299" t="s">
        <v>170</v>
      </c>
      <c r="C89" s="300">
        <v>2021</v>
      </c>
      <c r="D89" s="286">
        <v>91.6</v>
      </c>
      <c r="E89" s="300">
        <v>0.5</v>
      </c>
      <c r="F89" s="300"/>
      <c r="G89" s="288">
        <f t="shared" si="60"/>
        <v>0</v>
      </c>
      <c r="H89" s="288">
        <f t="shared" si="60"/>
        <v>0</v>
      </c>
      <c r="I89" s="288">
        <f t="shared" si="60"/>
        <v>0</v>
      </c>
      <c r="J89" s="288">
        <f t="shared" si="60"/>
        <v>0</v>
      </c>
      <c r="K89" s="288">
        <f t="shared" si="60"/>
        <v>0</v>
      </c>
      <c r="L89" s="288">
        <f t="shared" si="60"/>
        <v>0</v>
      </c>
      <c r="M89" s="288">
        <f t="shared" si="60"/>
        <v>0</v>
      </c>
      <c r="N89" s="288">
        <f t="shared" si="60"/>
        <v>0</v>
      </c>
      <c r="O89" s="288">
        <f t="shared" si="60"/>
        <v>0</v>
      </c>
      <c r="P89" s="288">
        <f t="shared" si="60"/>
        <v>0</v>
      </c>
      <c r="Q89" s="288">
        <f t="shared" si="60"/>
        <v>0</v>
      </c>
      <c r="R89" s="288">
        <f t="shared" si="60"/>
        <v>401208</v>
      </c>
      <c r="S89" s="288">
        <f t="shared" si="60"/>
        <v>401208</v>
      </c>
      <c r="T89" s="288">
        <f t="shared" si="60"/>
        <v>401208</v>
      </c>
      <c r="U89" s="288">
        <f t="shared" si="60"/>
        <v>401208</v>
      </c>
      <c r="V89" s="288">
        <f t="shared" si="60"/>
        <v>401208</v>
      </c>
      <c r="W89" s="288">
        <f t="shared" si="61"/>
        <v>401208</v>
      </c>
      <c r="X89" s="288">
        <f t="shared" si="61"/>
        <v>401208</v>
      </c>
      <c r="Y89" s="288">
        <f t="shared" si="61"/>
        <v>401208</v>
      </c>
      <c r="Z89" s="288">
        <f t="shared" si="61"/>
        <v>401208</v>
      </c>
      <c r="AA89" s="288">
        <f t="shared" si="61"/>
        <v>401208</v>
      </c>
    </row>
    <row r="90" spans="2:27" x14ac:dyDescent="0.3">
      <c r="B90" s="297" t="s">
        <v>171</v>
      </c>
      <c r="C90" s="297"/>
      <c r="D90" s="301"/>
      <c r="E90" s="297"/>
      <c r="F90" s="297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98"/>
      <c r="T90" s="298"/>
      <c r="U90" s="298"/>
      <c r="V90" s="298"/>
      <c r="W90" s="298"/>
      <c r="X90" s="298"/>
      <c r="Y90" s="298"/>
      <c r="Z90" s="298"/>
      <c r="AA90" s="298"/>
    </row>
    <row r="91" spans="2:27" x14ac:dyDescent="0.3">
      <c r="B91" s="299" t="s">
        <v>171</v>
      </c>
      <c r="C91" s="300">
        <v>2021</v>
      </c>
      <c r="D91" s="286">
        <v>85.8</v>
      </c>
      <c r="E91" s="300">
        <v>0.5</v>
      </c>
      <c r="F91" s="300"/>
      <c r="G91" s="288">
        <f t="shared" si="60"/>
        <v>0</v>
      </c>
      <c r="H91" s="288">
        <f t="shared" si="60"/>
        <v>0</v>
      </c>
      <c r="I91" s="288">
        <f t="shared" si="60"/>
        <v>0</v>
      </c>
      <c r="J91" s="288">
        <f t="shared" si="60"/>
        <v>0</v>
      </c>
      <c r="K91" s="288">
        <f t="shared" si="60"/>
        <v>0</v>
      </c>
      <c r="L91" s="288">
        <f t="shared" si="60"/>
        <v>0</v>
      </c>
      <c r="M91" s="288">
        <f t="shared" si="60"/>
        <v>0</v>
      </c>
      <c r="N91" s="288">
        <f t="shared" si="60"/>
        <v>0</v>
      </c>
      <c r="O91" s="288">
        <f t="shared" si="60"/>
        <v>0</v>
      </c>
      <c r="P91" s="288">
        <f t="shared" si="60"/>
        <v>0</v>
      </c>
      <c r="Q91" s="288">
        <f t="shared" si="60"/>
        <v>0</v>
      </c>
      <c r="R91" s="288">
        <f t="shared" si="60"/>
        <v>375804</v>
      </c>
      <c r="S91" s="288">
        <f t="shared" si="60"/>
        <v>375804</v>
      </c>
      <c r="T91" s="288">
        <f t="shared" si="60"/>
        <v>375804</v>
      </c>
      <c r="U91" s="288">
        <f t="shared" si="60"/>
        <v>375804</v>
      </c>
      <c r="V91" s="288">
        <f t="shared" si="60"/>
        <v>375804</v>
      </c>
      <c r="W91" s="288">
        <f t="shared" si="61"/>
        <v>375804</v>
      </c>
      <c r="X91" s="288">
        <f t="shared" si="61"/>
        <v>375804</v>
      </c>
      <c r="Y91" s="288">
        <f t="shared" si="61"/>
        <v>375804</v>
      </c>
      <c r="Z91" s="288">
        <f t="shared" si="61"/>
        <v>375804</v>
      </c>
      <c r="AA91" s="288">
        <f t="shared" si="61"/>
        <v>375804</v>
      </c>
    </row>
    <row r="92" spans="2:27" x14ac:dyDescent="0.3">
      <c r="B92" s="297" t="s">
        <v>172</v>
      </c>
      <c r="C92" s="297"/>
      <c r="D92" s="301"/>
      <c r="E92" s="297"/>
      <c r="F92" s="297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</row>
    <row r="93" spans="2:27" x14ac:dyDescent="0.3">
      <c r="B93" s="299" t="s">
        <v>172</v>
      </c>
      <c r="C93" s="300">
        <v>2021</v>
      </c>
      <c r="D93" s="286">
        <v>118.2</v>
      </c>
      <c r="E93" s="300">
        <v>0.5</v>
      </c>
      <c r="F93" s="300"/>
      <c r="G93" s="288">
        <f t="shared" si="60"/>
        <v>0</v>
      </c>
      <c r="H93" s="288">
        <f t="shared" si="60"/>
        <v>0</v>
      </c>
      <c r="I93" s="288">
        <f t="shared" si="60"/>
        <v>0</v>
      </c>
      <c r="J93" s="288">
        <f t="shared" si="60"/>
        <v>0</v>
      </c>
      <c r="K93" s="288">
        <f t="shared" si="60"/>
        <v>0</v>
      </c>
      <c r="L93" s="288">
        <f t="shared" si="60"/>
        <v>0</v>
      </c>
      <c r="M93" s="288">
        <f t="shared" si="60"/>
        <v>0</v>
      </c>
      <c r="N93" s="288">
        <f t="shared" si="60"/>
        <v>0</v>
      </c>
      <c r="O93" s="288">
        <f t="shared" si="60"/>
        <v>0</v>
      </c>
      <c r="P93" s="288">
        <f t="shared" si="60"/>
        <v>0</v>
      </c>
      <c r="Q93" s="288">
        <f t="shared" si="60"/>
        <v>0</v>
      </c>
      <c r="R93" s="288">
        <f t="shared" si="60"/>
        <v>517716</v>
      </c>
      <c r="S93" s="288">
        <f t="shared" si="60"/>
        <v>517716</v>
      </c>
      <c r="T93" s="288">
        <f t="shared" si="60"/>
        <v>517716</v>
      </c>
      <c r="U93" s="288">
        <f t="shared" si="60"/>
        <v>517716</v>
      </c>
      <c r="V93" s="288">
        <f t="shared" si="60"/>
        <v>517716</v>
      </c>
      <c r="W93" s="288">
        <f t="shared" si="61"/>
        <v>517716</v>
      </c>
      <c r="X93" s="288">
        <f t="shared" si="61"/>
        <v>517716</v>
      </c>
      <c r="Y93" s="288">
        <f t="shared" si="61"/>
        <v>517716</v>
      </c>
      <c r="Z93" s="288">
        <f t="shared" si="61"/>
        <v>517716</v>
      </c>
      <c r="AA93" s="288">
        <f t="shared" si="61"/>
        <v>517716</v>
      </c>
    </row>
    <row r="94" spans="2:27" x14ac:dyDescent="0.3">
      <c r="B94" s="297" t="s">
        <v>173</v>
      </c>
      <c r="C94" s="297"/>
      <c r="D94" s="301"/>
      <c r="E94" s="297"/>
      <c r="F94" s="297"/>
      <c r="G94" s="298"/>
      <c r="H94" s="298"/>
      <c r="I94" s="298"/>
      <c r="J94" s="298"/>
      <c r="K94" s="298"/>
      <c r="L94" s="298"/>
      <c r="M94" s="298"/>
      <c r="N94" s="298"/>
      <c r="O94" s="298"/>
      <c r="P94" s="298"/>
      <c r="Q94" s="298"/>
      <c r="R94" s="298"/>
      <c r="S94" s="298"/>
      <c r="T94" s="298"/>
      <c r="U94" s="298"/>
      <c r="V94" s="298"/>
      <c r="W94" s="298"/>
      <c r="X94" s="298"/>
      <c r="Y94" s="298"/>
      <c r="Z94" s="298"/>
      <c r="AA94" s="298"/>
    </row>
    <row r="95" spans="2:27" x14ac:dyDescent="0.3">
      <c r="B95" s="299" t="str">
        <f>+B94</f>
        <v>Ivirizu</v>
      </c>
      <c r="C95" s="300">
        <v>2020</v>
      </c>
      <c r="D95" s="286">
        <v>253.9</v>
      </c>
      <c r="E95" s="300">
        <v>0.5</v>
      </c>
      <c r="F95" s="300"/>
      <c r="G95" s="288">
        <f t="shared" si="60"/>
        <v>0</v>
      </c>
      <c r="H95" s="288">
        <f t="shared" si="60"/>
        <v>0</v>
      </c>
      <c r="I95" s="288">
        <f t="shared" si="60"/>
        <v>0</v>
      </c>
      <c r="J95" s="288">
        <f t="shared" si="60"/>
        <v>0</v>
      </c>
      <c r="K95" s="288">
        <f t="shared" si="60"/>
        <v>0</v>
      </c>
      <c r="L95" s="288">
        <f t="shared" si="60"/>
        <v>0</v>
      </c>
      <c r="M95" s="288">
        <f t="shared" si="60"/>
        <v>0</v>
      </c>
      <c r="N95" s="288">
        <f t="shared" si="60"/>
        <v>0</v>
      </c>
      <c r="O95" s="288">
        <f t="shared" si="60"/>
        <v>0</v>
      </c>
      <c r="P95" s="288">
        <f t="shared" si="60"/>
        <v>0</v>
      </c>
      <c r="Q95" s="288">
        <f t="shared" si="60"/>
        <v>1112082</v>
      </c>
      <c r="R95" s="288">
        <f t="shared" si="60"/>
        <v>1112082</v>
      </c>
      <c r="S95" s="288">
        <f t="shared" si="60"/>
        <v>1112082</v>
      </c>
      <c r="T95" s="288">
        <f t="shared" si="60"/>
        <v>1112082</v>
      </c>
      <c r="U95" s="288">
        <f t="shared" si="60"/>
        <v>1112082</v>
      </c>
      <c r="V95" s="288">
        <f t="shared" si="60"/>
        <v>1112082</v>
      </c>
      <c r="W95" s="288">
        <f t="shared" si="61"/>
        <v>1112082</v>
      </c>
      <c r="X95" s="288">
        <f t="shared" si="61"/>
        <v>1112082</v>
      </c>
      <c r="Y95" s="288">
        <f t="shared" si="61"/>
        <v>1112082</v>
      </c>
      <c r="Z95" s="288">
        <f t="shared" si="61"/>
        <v>1112082</v>
      </c>
      <c r="AA95" s="288">
        <f t="shared" si="61"/>
        <v>1112082</v>
      </c>
    </row>
    <row r="96" spans="2:27" x14ac:dyDescent="0.3">
      <c r="B96" s="297" t="s">
        <v>174</v>
      </c>
      <c r="C96" s="297"/>
      <c r="D96" s="301"/>
      <c r="E96" s="297"/>
      <c r="F96" s="297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</row>
    <row r="97" spans="2:27" x14ac:dyDescent="0.3">
      <c r="B97" s="299" t="str">
        <f>+B96</f>
        <v>Banda Azul</v>
      </c>
      <c r="C97" s="300">
        <v>2020</v>
      </c>
      <c r="D97" s="286">
        <v>93</v>
      </c>
      <c r="E97" s="300">
        <v>0.5</v>
      </c>
      <c r="F97" s="300"/>
      <c r="G97" s="288">
        <f t="shared" si="60"/>
        <v>0</v>
      </c>
      <c r="H97" s="288">
        <f t="shared" si="60"/>
        <v>0</v>
      </c>
      <c r="I97" s="288">
        <f t="shared" si="60"/>
        <v>0</v>
      </c>
      <c r="J97" s="288">
        <f t="shared" si="60"/>
        <v>0</v>
      </c>
      <c r="K97" s="288">
        <f t="shared" si="60"/>
        <v>0</v>
      </c>
      <c r="L97" s="288">
        <f t="shared" si="60"/>
        <v>0</v>
      </c>
      <c r="M97" s="288">
        <f t="shared" si="60"/>
        <v>0</v>
      </c>
      <c r="N97" s="288">
        <f t="shared" si="60"/>
        <v>0</v>
      </c>
      <c r="O97" s="288">
        <f t="shared" si="60"/>
        <v>0</v>
      </c>
      <c r="P97" s="288">
        <f t="shared" si="60"/>
        <v>0</v>
      </c>
      <c r="Q97" s="288">
        <f t="shared" si="60"/>
        <v>407340</v>
      </c>
      <c r="R97" s="288">
        <f t="shared" si="60"/>
        <v>407340</v>
      </c>
      <c r="S97" s="288">
        <f t="shared" si="60"/>
        <v>407340</v>
      </c>
      <c r="T97" s="288">
        <f t="shared" si="60"/>
        <v>407340</v>
      </c>
      <c r="U97" s="288">
        <f t="shared" si="60"/>
        <v>407340</v>
      </c>
      <c r="V97" s="288">
        <f t="shared" si="60"/>
        <v>407340</v>
      </c>
      <c r="W97" s="288">
        <f t="shared" si="61"/>
        <v>407340</v>
      </c>
      <c r="X97" s="288">
        <f t="shared" si="61"/>
        <v>407340</v>
      </c>
      <c r="Y97" s="288">
        <f t="shared" si="61"/>
        <v>407340</v>
      </c>
      <c r="Z97" s="288">
        <f t="shared" si="61"/>
        <v>407340</v>
      </c>
      <c r="AA97" s="288">
        <f t="shared" si="61"/>
        <v>407340</v>
      </c>
    </row>
    <row r="98" spans="2:27" x14ac:dyDescent="0.3">
      <c r="B98" s="297" t="s">
        <v>175</v>
      </c>
      <c r="C98" s="297"/>
      <c r="D98" s="301"/>
      <c r="E98" s="297"/>
      <c r="F98" s="297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  <c r="AA98" s="298"/>
    </row>
    <row r="99" spans="2:27" x14ac:dyDescent="0.3">
      <c r="B99" s="299" t="str">
        <f>+B98</f>
        <v>Pequenas centrales</v>
      </c>
      <c r="C99" s="300">
        <v>2020</v>
      </c>
      <c r="D99" s="286">
        <v>200</v>
      </c>
      <c r="E99" s="300">
        <v>0.5</v>
      </c>
      <c r="F99" s="300"/>
      <c r="G99" s="288">
        <f t="shared" si="60"/>
        <v>0</v>
      </c>
      <c r="H99" s="288">
        <f t="shared" si="60"/>
        <v>0</v>
      </c>
      <c r="I99" s="288">
        <f t="shared" si="60"/>
        <v>0</v>
      </c>
      <c r="J99" s="288">
        <f t="shared" si="60"/>
        <v>0</v>
      </c>
      <c r="K99" s="288">
        <f t="shared" si="60"/>
        <v>0</v>
      </c>
      <c r="L99" s="288">
        <f t="shared" si="60"/>
        <v>0</v>
      </c>
      <c r="M99" s="288">
        <f t="shared" si="60"/>
        <v>0</v>
      </c>
      <c r="N99" s="288">
        <f t="shared" si="60"/>
        <v>0</v>
      </c>
      <c r="O99" s="288">
        <f t="shared" si="60"/>
        <v>0</v>
      </c>
      <c r="P99" s="288">
        <f t="shared" si="60"/>
        <v>0</v>
      </c>
      <c r="Q99" s="288">
        <f t="shared" si="60"/>
        <v>876000</v>
      </c>
      <c r="R99" s="288">
        <f t="shared" si="60"/>
        <v>876000</v>
      </c>
      <c r="S99" s="288">
        <f t="shared" si="60"/>
        <v>876000</v>
      </c>
      <c r="T99" s="288">
        <f t="shared" si="60"/>
        <v>876000</v>
      </c>
      <c r="U99" s="288">
        <f t="shared" si="60"/>
        <v>876000</v>
      </c>
      <c r="V99" s="288">
        <f t="shared" si="60"/>
        <v>876000</v>
      </c>
      <c r="W99" s="288">
        <f t="shared" si="61"/>
        <v>876000</v>
      </c>
      <c r="X99" s="288">
        <f t="shared" si="61"/>
        <v>876000</v>
      </c>
      <c r="Y99" s="288">
        <f t="shared" si="61"/>
        <v>876000</v>
      </c>
      <c r="Z99" s="288">
        <f t="shared" si="61"/>
        <v>876000</v>
      </c>
      <c r="AA99" s="288">
        <f t="shared" si="61"/>
        <v>876000</v>
      </c>
    </row>
    <row r="100" spans="2:27" x14ac:dyDescent="0.3">
      <c r="B100" s="297" t="s">
        <v>176</v>
      </c>
      <c r="C100" s="297"/>
      <c r="D100" s="301"/>
      <c r="E100" s="297"/>
      <c r="F100" s="297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98"/>
      <c r="T100" s="298"/>
      <c r="U100" s="298"/>
      <c r="V100" s="298"/>
      <c r="W100" s="298"/>
      <c r="X100" s="298"/>
      <c r="Y100" s="298"/>
      <c r="Z100" s="298"/>
      <c r="AA100" s="298"/>
    </row>
    <row r="101" spans="2:27" x14ac:dyDescent="0.3">
      <c r="B101" s="299" t="str">
        <f>+B100</f>
        <v>Carrizal</v>
      </c>
      <c r="C101" s="300">
        <v>2025</v>
      </c>
      <c r="D101" s="286">
        <v>347</v>
      </c>
      <c r="E101" s="300">
        <v>0.5</v>
      </c>
      <c r="F101" s="300"/>
      <c r="G101" s="288">
        <f t="shared" si="60"/>
        <v>0</v>
      </c>
      <c r="H101" s="288">
        <f t="shared" si="60"/>
        <v>0</v>
      </c>
      <c r="I101" s="288">
        <f t="shared" si="60"/>
        <v>0</v>
      </c>
      <c r="J101" s="288">
        <f t="shared" si="60"/>
        <v>0</v>
      </c>
      <c r="K101" s="288">
        <f t="shared" si="60"/>
        <v>0</v>
      </c>
      <c r="L101" s="288">
        <f t="shared" si="60"/>
        <v>0</v>
      </c>
      <c r="M101" s="288">
        <f t="shared" si="60"/>
        <v>0</v>
      </c>
      <c r="N101" s="288">
        <f t="shared" si="60"/>
        <v>0</v>
      </c>
      <c r="O101" s="288">
        <f t="shared" si="60"/>
        <v>0</v>
      </c>
      <c r="P101" s="288">
        <f t="shared" si="60"/>
        <v>0</v>
      </c>
      <c r="Q101" s="288">
        <f t="shared" si="60"/>
        <v>0</v>
      </c>
      <c r="R101" s="288">
        <f t="shared" si="60"/>
        <v>0</v>
      </c>
      <c r="S101" s="288">
        <f t="shared" si="60"/>
        <v>0</v>
      </c>
      <c r="T101" s="288">
        <f t="shared" si="60"/>
        <v>0</v>
      </c>
      <c r="U101" s="288">
        <f t="shared" si="60"/>
        <v>0</v>
      </c>
      <c r="V101" s="288">
        <f t="shared" si="60"/>
        <v>1519860</v>
      </c>
      <c r="W101" s="288">
        <f t="shared" si="61"/>
        <v>1519860</v>
      </c>
      <c r="X101" s="288">
        <f t="shared" si="61"/>
        <v>1519860</v>
      </c>
      <c r="Y101" s="288">
        <f t="shared" si="61"/>
        <v>1519860</v>
      </c>
      <c r="Z101" s="288">
        <f t="shared" si="61"/>
        <v>1519860</v>
      </c>
      <c r="AA101" s="288">
        <f t="shared" si="61"/>
        <v>1519860</v>
      </c>
    </row>
    <row r="102" spans="2:27" x14ac:dyDescent="0.3">
      <c r="B102" s="297" t="s">
        <v>177</v>
      </c>
      <c r="C102" s="297"/>
      <c r="D102" s="301"/>
      <c r="E102" s="297"/>
      <c r="F102" s="297"/>
      <c r="G102" s="298"/>
      <c r="H102" s="298"/>
      <c r="I102" s="298"/>
      <c r="J102" s="298"/>
      <c r="K102" s="298"/>
      <c r="L102" s="298"/>
      <c r="M102" s="298"/>
      <c r="N102" s="298"/>
      <c r="O102" s="298"/>
      <c r="P102" s="298"/>
      <c r="Q102" s="298"/>
      <c r="R102" s="298"/>
      <c r="S102" s="298"/>
      <c r="T102" s="298"/>
      <c r="U102" s="298"/>
      <c r="V102" s="298"/>
      <c r="W102" s="298"/>
      <c r="X102" s="298"/>
      <c r="Y102" s="298"/>
      <c r="Z102" s="298"/>
      <c r="AA102" s="298"/>
    </row>
    <row r="103" spans="2:27" x14ac:dyDescent="0.3">
      <c r="B103" s="299" t="str">
        <f>+B102</f>
        <v>Cambari</v>
      </c>
      <c r="C103" s="300">
        <v>2025</v>
      </c>
      <c r="D103" s="286">
        <v>93</v>
      </c>
      <c r="E103" s="300">
        <v>0.5</v>
      </c>
      <c r="F103" s="300"/>
      <c r="G103" s="288">
        <f t="shared" si="60"/>
        <v>0</v>
      </c>
      <c r="H103" s="288">
        <f t="shared" si="60"/>
        <v>0</v>
      </c>
      <c r="I103" s="288">
        <f t="shared" si="60"/>
        <v>0</v>
      </c>
      <c r="J103" s="288">
        <f t="shared" si="60"/>
        <v>0</v>
      </c>
      <c r="K103" s="288">
        <f t="shared" si="60"/>
        <v>0</v>
      </c>
      <c r="L103" s="288">
        <f t="shared" si="60"/>
        <v>0</v>
      </c>
      <c r="M103" s="288">
        <f t="shared" si="60"/>
        <v>0</v>
      </c>
      <c r="N103" s="288">
        <f t="shared" si="60"/>
        <v>0</v>
      </c>
      <c r="O103" s="288">
        <f t="shared" si="60"/>
        <v>0</v>
      </c>
      <c r="P103" s="288">
        <f t="shared" si="60"/>
        <v>0</v>
      </c>
      <c r="Q103" s="288">
        <f t="shared" si="60"/>
        <v>0</v>
      </c>
      <c r="R103" s="288">
        <f t="shared" si="60"/>
        <v>0</v>
      </c>
      <c r="S103" s="288">
        <f t="shared" si="60"/>
        <v>0</v>
      </c>
      <c r="T103" s="288">
        <f t="shared" si="60"/>
        <v>0</v>
      </c>
      <c r="U103" s="288">
        <f t="shared" si="60"/>
        <v>0</v>
      </c>
      <c r="V103" s="288">
        <f t="shared" si="60"/>
        <v>407340</v>
      </c>
      <c r="W103" s="288">
        <f t="shared" si="61"/>
        <v>407340</v>
      </c>
      <c r="X103" s="288">
        <f t="shared" si="61"/>
        <v>407340</v>
      </c>
      <c r="Y103" s="288">
        <f t="shared" si="61"/>
        <v>407340</v>
      </c>
      <c r="Z103" s="288">
        <f t="shared" si="61"/>
        <v>407340</v>
      </c>
      <c r="AA103" s="288">
        <f t="shared" si="61"/>
        <v>407340</v>
      </c>
    </row>
    <row r="104" spans="2:27" x14ac:dyDescent="0.3">
      <c r="B104" s="297" t="s">
        <v>178</v>
      </c>
      <c r="C104" s="297"/>
      <c r="D104" s="301"/>
      <c r="E104" s="297"/>
      <c r="F104" s="297"/>
      <c r="G104" s="298"/>
      <c r="H104" s="298"/>
      <c r="I104" s="298"/>
      <c r="J104" s="298"/>
      <c r="K104" s="298"/>
      <c r="L104" s="298"/>
      <c r="M104" s="298"/>
      <c r="N104" s="298"/>
      <c r="O104" s="298"/>
      <c r="P104" s="298"/>
      <c r="Q104" s="298"/>
      <c r="R104" s="298"/>
      <c r="S104" s="298"/>
      <c r="T104" s="298"/>
      <c r="U104" s="298"/>
      <c r="V104" s="298"/>
      <c r="W104" s="298"/>
      <c r="X104" s="298"/>
      <c r="Y104" s="298"/>
      <c r="Z104" s="298"/>
      <c r="AA104" s="298"/>
    </row>
    <row r="105" spans="2:27" x14ac:dyDescent="0.3">
      <c r="B105" s="299" t="str">
        <f>+B104</f>
        <v>Cuenca Corani</v>
      </c>
      <c r="C105" s="300">
        <v>2025</v>
      </c>
      <c r="D105" s="286">
        <v>220</v>
      </c>
      <c r="E105" s="300">
        <v>0.5</v>
      </c>
      <c r="F105" s="300"/>
      <c r="G105" s="288">
        <f t="shared" si="60"/>
        <v>0</v>
      </c>
      <c r="H105" s="288">
        <f t="shared" si="60"/>
        <v>0</v>
      </c>
      <c r="I105" s="288">
        <f t="shared" si="60"/>
        <v>0</v>
      </c>
      <c r="J105" s="288">
        <f t="shared" si="60"/>
        <v>0</v>
      </c>
      <c r="K105" s="288">
        <f t="shared" si="60"/>
        <v>0</v>
      </c>
      <c r="L105" s="288">
        <f t="shared" si="60"/>
        <v>0</v>
      </c>
      <c r="M105" s="288">
        <f t="shared" si="60"/>
        <v>0</v>
      </c>
      <c r="N105" s="288">
        <f t="shared" si="60"/>
        <v>0</v>
      </c>
      <c r="O105" s="288">
        <f t="shared" si="60"/>
        <v>0</v>
      </c>
      <c r="P105" s="288">
        <f t="shared" si="60"/>
        <v>0</v>
      </c>
      <c r="Q105" s="288">
        <f t="shared" si="60"/>
        <v>0</v>
      </c>
      <c r="R105" s="288">
        <f t="shared" si="60"/>
        <v>0</v>
      </c>
      <c r="S105" s="288">
        <f t="shared" si="60"/>
        <v>0</v>
      </c>
      <c r="T105" s="288">
        <f t="shared" si="60"/>
        <v>0</v>
      </c>
      <c r="U105" s="288">
        <f t="shared" si="60"/>
        <v>0</v>
      </c>
      <c r="V105" s="288">
        <f t="shared" si="60"/>
        <v>963600</v>
      </c>
      <c r="W105" s="288">
        <f t="shared" si="61"/>
        <v>963600</v>
      </c>
      <c r="X105" s="288">
        <f t="shared" si="61"/>
        <v>963600</v>
      </c>
      <c r="Y105" s="288">
        <f t="shared" si="61"/>
        <v>963600</v>
      </c>
      <c r="Z105" s="288">
        <f t="shared" si="61"/>
        <v>963600</v>
      </c>
      <c r="AA105" s="288">
        <f t="shared" si="61"/>
        <v>963600</v>
      </c>
    </row>
    <row r="106" spans="2:27" x14ac:dyDescent="0.3">
      <c r="B106" s="297" t="s">
        <v>179</v>
      </c>
      <c r="C106" s="297"/>
      <c r="D106" s="301"/>
      <c r="E106" s="297"/>
      <c r="F106" s="297"/>
      <c r="G106" s="298"/>
      <c r="H106" s="298"/>
      <c r="I106" s="298"/>
      <c r="J106" s="298"/>
      <c r="K106" s="298"/>
      <c r="L106" s="298"/>
      <c r="M106" s="298"/>
      <c r="N106" s="298"/>
      <c r="O106" s="298"/>
      <c r="P106" s="298"/>
      <c r="Q106" s="298"/>
      <c r="R106" s="298"/>
      <c r="S106" s="298"/>
      <c r="T106" s="298"/>
      <c r="U106" s="298"/>
      <c r="V106" s="298"/>
      <c r="W106" s="298"/>
      <c r="X106" s="298"/>
      <c r="Y106" s="298"/>
      <c r="Z106" s="298"/>
      <c r="AA106" s="298"/>
    </row>
    <row r="107" spans="2:27" x14ac:dyDescent="0.3">
      <c r="B107" s="299" t="str">
        <f>+B106</f>
        <v>Moliineros</v>
      </c>
      <c r="C107" s="300">
        <v>2025</v>
      </c>
      <c r="D107" s="286">
        <v>132</v>
      </c>
      <c r="E107" s="300">
        <v>0.5</v>
      </c>
      <c r="F107" s="300"/>
      <c r="G107" s="288">
        <f t="shared" si="60"/>
        <v>0</v>
      </c>
      <c r="H107" s="288">
        <f t="shared" si="60"/>
        <v>0</v>
      </c>
      <c r="I107" s="288">
        <f t="shared" si="60"/>
        <v>0</v>
      </c>
      <c r="J107" s="288">
        <f t="shared" si="60"/>
        <v>0</v>
      </c>
      <c r="K107" s="288">
        <f t="shared" si="60"/>
        <v>0</v>
      </c>
      <c r="L107" s="288">
        <f t="shared" si="60"/>
        <v>0</v>
      </c>
      <c r="M107" s="288">
        <f t="shared" si="60"/>
        <v>0</v>
      </c>
      <c r="N107" s="288">
        <f t="shared" si="60"/>
        <v>0</v>
      </c>
      <c r="O107" s="288">
        <f t="shared" si="60"/>
        <v>0</v>
      </c>
      <c r="P107" s="288">
        <f t="shared" si="60"/>
        <v>0</v>
      </c>
      <c r="Q107" s="288">
        <f t="shared" si="60"/>
        <v>0</v>
      </c>
      <c r="R107" s="288">
        <f t="shared" si="60"/>
        <v>0</v>
      </c>
      <c r="S107" s="288">
        <f t="shared" si="60"/>
        <v>0</v>
      </c>
      <c r="T107" s="288">
        <f t="shared" si="60"/>
        <v>0</v>
      </c>
      <c r="U107" s="288">
        <f t="shared" si="60"/>
        <v>0</v>
      </c>
      <c r="V107" s="288">
        <f t="shared" si="60"/>
        <v>578160</v>
      </c>
      <c r="W107" s="288">
        <f t="shared" si="61"/>
        <v>578160</v>
      </c>
      <c r="X107" s="288">
        <f t="shared" si="61"/>
        <v>578160</v>
      </c>
      <c r="Y107" s="288">
        <f t="shared" si="61"/>
        <v>578160</v>
      </c>
      <c r="Z107" s="288">
        <f t="shared" si="61"/>
        <v>578160</v>
      </c>
      <c r="AA107" s="288">
        <f t="shared" si="61"/>
        <v>578160</v>
      </c>
    </row>
    <row r="108" spans="2:27" x14ac:dyDescent="0.3">
      <c r="B108" s="297" t="s">
        <v>180</v>
      </c>
      <c r="C108" s="297"/>
      <c r="D108" s="301"/>
      <c r="E108" s="297"/>
      <c r="F108" s="297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8"/>
      <c r="T108" s="298"/>
      <c r="U108" s="298"/>
      <c r="V108" s="298"/>
      <c r="W108" s="298"/>
      <c r="X108" s="298"/>
      <c r="Y108" s="298"/>
      <c r="Z108" s="298"/>
      <c r="AA108" s="298"/>
    </row>
    <row r="109" spans="2:27" x14ac:dyDescent="0.3">
      <c r="B109" s="299" t="str">
        <f>+B108</f>
        <v>Rositas</v>
      </c>
      <c r="C109" s="300">
        <v>2025</v>
      </c>
      <c r="D109" s="286">
        <v>600</v>
      </c>
      <c r="E109" s="300">
        <v>0.5</v>
      </c>
      <c r="F109" s="300"/>
      <c r="G109" s="288">
        <f t="shared" si="60"/>
        <v>0</v>
      </c>
      <c r="H109" s="288">
        <f t="shared" si="60"/>
        <v>0</v>
      </c>
      <c r="I109" s="288">
        <f t="shared" si="60"/>
        <v>0</v>
      </c>
      <c r="J109" s="288">
        <f t="shared" si="60"/>
        <v>0</v>
      </c>
      <c r="K109" s="288">
        <f t="shared" si="60"/>
        <v>0</v>
      </c>
      <c r="L109" s="288">
        <f t="shared" si="60"/>
        <v>0</v>
      </c>
      <c r="M109" s="288">
        <f t="shared" si="60"/>
        <v>0</v>
      </c>
      <c r="N109" s="288">
        <f t="shared" si="60"/>
        <v>0</v>
      </c>
      <c r="O109" s="288">
        <f t="shared" si="60"/>
        <v>0</v>
      </c>
      <c r="P109" s="288">
        <f t="shared" si="60"/>
        <v>0</v>
      </c>
      <c r="Q109" s="288">
        <f t="shared" si="60"/>
        <v>0</v>
      </c>
      <c r="R109" s="288">
        <f t="shared" si="60"/>
        <v>0</v>
      </c>
      <c r="S109" s="288">
        <f t="shared" si="60"/>
        <v>0</v>
      </c>
      <c r="T109" s="288">
        <f t="shared" si="60"/>
        <v>0</v>
      </c>
      <c r="U109" s="288">
        <f t="shared" si="60"/>
        <v>0</v>
      </c>
      <c r="V109" s="288">
        <f t="shared" si="60"/>
        <v>2628000</v>
      </c>
      <c r="W109" s="288">
        <f t="shared" si="61"/>
        <v>2628000</v>
      </c>
      <c r="X109" s="288">
        <f t="shared" si="61"/>
        <v>2628000</v>
      </c>
      <c r="Y109" s="288">
        <f t="shared" si="61"/>
        <v>2628000</v>
      </c>
      <c r="Z109" s="288">
        <f t="shared" si="61"/>
        <v>2628000</v>
      </c>
      <c r="AA109" s="288">
        <f t="shared" si="61"/>
        <v>2628000</v>
      </c>
    </row>
    <row r="110" spans="2:27" x14ac:dyDescent="0.3">
      <c r="B110" s="297" t="s">
        <v>181</v>
      </c>
      <c r="C110" s="297"/>
      <c r="D110" s="301"/>
      <c r="E110" s="297"/>
      <c r="F110" s="297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  <c r="AA110" s="298"/>
    </row>
    <row r="111" spans="2:27" x14ac:dyDescent="0.3">
      <c r="B111" s="299" t="str">
        <f>+B110</f>
        <v>Icla</v>
      </c>
      <c r="C111" s="300">
        <v>2029</v>
      </c>
      <c r="D111" s="286">
        <v>102</v>
      </c>
      <c r="E111" s="300">
        <v>0.53</v>
      </c>
      <c r="F111" s="300"/>
      <c r="G111" s="288">
        <f t="shared" ref="G111:V111" si="62">+IF($C111&lt;=G$52,$D111*8760*$E111,0)</f>
        <v>0</v>
      </c>
      <c r="H111" s="288">
        <f t="shared" si="62"/>
        <v>0</v>
      </c>
      <c r="I111" s="288">
        <f t="shared" si="62"/>
        <v>0</v>
      </c>
      <c r="J111" s="288">
        <f t="shared" si="62"/>
        <v>0</v>
      </c>
      <c r="K111" s="288">
        <f t="shared" si="62"/>
        <v>0</v>
      </c>
      <c r="L111" s="288">
        <f t="shared" si="62"/>
        <v>0</v>
      </c>
      <c r="M111" s="288">
        <f t="shared" si="62"/>
        <v>0</v>
      </c>
      <c r="N111" s="288">
        <f t="shared" si="62"/>
        <v>0</v>
      </c>
      <c r="O111" s="288">
        <f t="shared" si="62"/>
        <v>0</v>
      </c>
      <c r="P111" s="288">
        <f t="shared" si="62"/>
        <v>0</v>
      </c>
      <c r="Q111" s="288">
        <f t="shared" si="62"/>
        <v>0</v>
      </c>
      <c r="R111" s="288">
        <f t="shared" si="62"/>
        <v>0</v>
      </c>
      <c r="S111" s="288">
        <f t="shared" si="62"/>
        <v>0</v>
      </c>
      <c r="T111" s="288">
        <f t="shared" si="62"/>
        <v>0</v>
      </c>
      <c r="U111" s="288">
        <f t="shared" si="62"/>
        <v>0</v>
      </c>
      <c r="V111" s="288">
        <f t="shared" si="62"/>
        <v>0</v>
      </c>
      <c r="W111" s="288">
        <f t="shared" si="61"/>
        <v>0</v>
      </c>
      <c r="X111" s="288">
        <f t="shared" si="61"/>
        <v>0</v>
      </c>
      <c r="Y111" s="288">
        <f t="shared" si="61"/>
        <v>0</v>
      </c>
      <c r="Z111" s="288">
        <f t="shared" si="61"/>
        <v>473565.60000000003</v>
      </c>
      <c r="AA111" s="288">
        <f t="shared" si="61"/>
        <v>473565.60000000003</v>
      </c>
    </row>
    <row r="112" spans="2:27" x14ac:dyDescent="0.3">
      <c r="B112" s="297" t="s">
        <v>182</v>
      </c>
      <c r="C112" s="297"/>
      <c r="D112" s="301"/>
      <c r="E112" s="297"/>
      <c r="F112" s="297"/>
      <c r="G112" s="298"/>
      <c r="H112" s="298"/>
      <c r="I112" s="298"/>
      <c r="J112" s="298"/>
      <c r="K112" s="298"/>
      <c r="L112" s="298"/>
      <c r="M112" s="298"/>
      <c r="N112" s="298"/>
      <c r="O112" s="298"/>
      <c r="P112" s="298"/>
      <c r="Q112" s="298"/>
      <c r="R112" s="298"/>
      <c r="S112" s="298"/>
      <c r="T112" s="298"/>
      <c r="U112" s="298"/>
      <c r="V112" s="298"/>
      <c r="W112" s="298"/>
      <c r="X112" s="298"/>
      <c r="Y112" s="298"/>
      <c r="Z112" s="298"/>
      <c r="AA112" s="298"/>
    </row>
    <row r="113" spans="2:27" x14ac:dyDescent="0.3">
      <c r="B113" s="299" t="str">
        <f>+B112</f>
        <v>Margarita</v>
      </c>
      <c r="C113" s="300">
        <v>2029</v>
      </c>
      <c r="D113" s="286">
        <v>150</v>
      </c>
      <c r="E113" s="300">
        <v>0.53</v>
      </c>
      <c r="F113" s="300"/>
      <c r="G113" s="288">
        <f t="shared" ref="G113:V113" si="63">+IF($C113&lt;=G$52,$D113*8760*$E113,0)</f>
        <v>0</v>
      </c>
      <c r="H113" s="288">
        <f t="shared" si="63"/>
        <v>0</v>
      </c>
      <c r="I113" s="288">
        <f t="shared" si="63"/>
        <v>0</v>
      </c>
      <c r="J113" s="288">
        <f t="shared" si="63"/>
        <v>0</v>
      </c>
      <c r="K113" s="288">
        <f t="shared" si="63"/>
        <v>0</v>
      </c>
      <c r="L113" s="288">
        <f t="shared" si="63"/>
        <v>0</v>
      </c>
      <c r="M113" s="288">
        <f t="shared" si="63"/>
        <v>0</v>
      </c>
      <c r="N113" s="288">
        <f t="shared" si="63"/>
        <v>0</v>
      </c>
      <c r="O113" s="288">
        <f t="shared" si="63"/>
        <v>0</v>
      </c>
      <c r="P113" s="288">
        <f t="shared" si="63"/>
        <v>0</v>
      </c>
      <c r="Q113" s="288">
        <f t="shared" si="63"/>
        <v>0</v>
      </c>
      <c r="R113" s="288">
        <f t="shared" si="63"/>
        <v>0</v>
      </c>
      <c r="S113" s="288">
        <f t="shared" si="63"/>
        <v>0</v>
      </c>
      <c r="T113" s="288">
        <f t="shared" si="63"/>
        <v>0</v>
      </c>
      <c r="U113" s="288">
        <f t="shared" si="63"/>
        <v>0</v>
      </c>
      <c r="V113" s="288">
        <f t="shared" si="63"/>
        <v>0</v>
      </c>
      <c r="W113" s="288">
        <f t="shared" si="61"/>
        <v>0</v>
      </c>
      <c r="X113" s="288">
        <f t="shared" si="61"/>
        <v>0</v>
      </c>
      <c r="Y113" s="288">
        <f t="shared" si="61"/>
        <v>0</v>
      </c>
      <c r="Z113" s="288">
        <f t="shared" si="61"/>
        <v>696420</v>
      </c>
      <c r="AA113" s="288">
        <f t="shared" si="61"/>
        <v>696420</v>
      </c>
    </row>
    <row r="114" spans="2:27" x14ac:dyDescent="0.3">
      <c r="B114" s="297" t="s">
        <v>183</v>
      </c>
      <c r="C114" s="297"/>
      <c r="D114" s="301"/>
      <c r="E114" s="297"/>
      <c r="F114" s="297"/>
      <c r="G114" s="298"/>
      <c r="H114" s="298"/>
      <c r="I114" s="298"/>
      <c r="J114" s="298"/>
      <c r="K114" s="298"/>
      <c r="L114" s="298"/>
      <c r="M114" s="298"/>
      <c r="N114" s="298"/>
      <c r="O114" s="298"/>
      <c r="P114" s="298"/>
      <c r="Q114" s="298"/>
      <c r="R114" s="298"/>
      <c r="S114" s="298"/>
      <c r="T114" s="298"/>
      <c r="U114" s="298"/>
      <c r="V114" s="298"/>
      <c r="W114" s="298"/>
      <c r="X114" s="298"/>
      <c r="Y114" s="298"/>
      <c r="Z114" s="298"/>
      <c r="AA114" s="298"/>
    </row>
    <row r="115" spans="2:27" x14ac:dyDescent="0.3">
      <c r="B115" s="299" t="str">
        <f>+B114</f>
        <v>Río Grande (excl. Juntas)</v>
      </c>
      <c r="C115" s="300">
        <v>2029</v>
      </c>
      <c r="D115" s="286">
        <f>3072-172</f>
        <v>2900</v>
      </c>
      <c r="E115" s="300">
        <v>0.53</v>
      </c>
      <c r="F115" s="300"/>
      <c r="G115" s="288">
        <f t="shared" ref="G115:V115" si="64">+IF($C115&lt;=G$52,$D115*8760*$E115,0)</f>
        <v>0</v>
      </c>
      <c r="H115" s="288">
        <f t="shared" si="64"/>
        <v>0</v>
      </c>
      <c r="I115" s="288">
        <f t="shared" si="64"/>
        <v>0</v>
      </c>
      <c r="J115" s="288">
        <f t="shared" si="64"/>
        <v>0</v>
      </c>
      <c r="K115" s="288">
        <f t="shared" si="64"/>
        <v>0</v>
      </c>
      <c r="L115" s="288">
        <f t="shared" si="64"/>
        <v>0</v>
      </c>
      <c r="M115" s="288">
        <f t="shared" si="64"/>
        <v>0</v>
      </c>
      <c r="N115" s="288">
        <f t="shared" si="64"/>
        <v>0</v>
      </c>
      <c r="O115" s="288">
        <f t="shared" si="64"/>
        <v>0</v>
      </c>
      <c r="P115" s="288">
        <f t="shared" si="64"/>
        <v>0</v>
      </c>
      <c r="Q115" s="288">
        <f t="shared" si="64"/>
        <v>0</v>
      </c>
      <c r="R115" s="288">
        <f t="shared" si="64"/>
        <v>0</v>
      </c>
      <c r="S115" s="288">
        <f t="shared" si="64"/>
        <v>0</v>
      </c>
      <c r="T115" s="288">
        <f t="shared" si="64"/>
        <v>0</v>
      </c>
      <c r="U115" s="288">
        <f t="shared" si="64"/>
        <v>0</v>
      </c>
      <c r="V115" s="288">
        <f t="shared" si="64"/>
        <v>0</v>
      </c>
      <c r="W115" s="288">
        <f t="shared" si="61"/>
        <v>0</v>
      </c>
      <c r="X115" s="288">
        <f t="shared" si="61"/>
        <v>0</v>
      </c>
      <c r="Y115" s="288">
        <f t="shared" si="61"/>
        <v>0</v>
      </c>
      <c r="Z115" s="288">
        <f t="shared" si="61"/>
        <v>13464120</v>
      </c>
      <c r="AA115" s="288">
        <f t="shared" si="61"/>
        <v>13464120</v>
      </c>
    </row>
    <row r="116" spans="2:27" x14ac:dyDescent="0.3">
      <c r="B116" s="297" t="s">
        <v>184</v>
      </c>
      <c r="C116" s="297"/>
      <c r="D116" s="301"/>
      <c r="E116" s="297"/>
      <c r="F116" s="297"/>
      <c r="G116" s="298"/>
      <c r="H116" s="298"/>
      <c r="I116" s="298"/>
      <c r="J116" s="298"/>
      <c r="K116" s="298"/>
      <c r="L116" s="298"/>
      <c r="M116" s="298"/>
      <c r="N116" s="298"/>
      <c r="O116" s="298"/>
      <c r="P116" s="298"/>
      <c r="Q116" s="298"/>
      <c r="R116" s="298"/>
      <c r="S116" s="298"/>
      <c r="T116" s="298"/>
      <c r="U116" s="298"/>
      <c r="V116" s="298"/>
      <c r="W116" s="298"/>
      <c r="X116" s="298"/>
      <c r="Y116" s="298"/>
      <c r="Z116" s="298"/>
      <c r="AA116" s="298"/>
    </row>
    <row r="117" spans="2:27" x14ac:dyDescent="0.3">
      <c r="B117" s="299" t="str">
        <f>+B116</f>
        <v>Otras  nuevas plantas</v>
      </c>
      <c r="C117" s="300">
        <v>2029</v>
      </c>
      <c r="D117" s="286">
        <v>360</v>
      </c>
      <c r="E117" s="300">
        <v>0.53</v>
      </c>
      <c r="F117" s="300"/>
      <c r="G117" s="288">
        <f t="shared" ref="G117:V117" si="65">+IF($C117&lt;=G$52,$D117*8760*$E117,0)</f>
        <v>0</v>
      </c>
      <c r="H117" s="288">
        <f t="shared" si="65"/>
        <v>0</v>
      </c>
      <c r="I117" s="288">
        <f t="shared" si="65"/>
        <v>0</v>
      </c>
      <c r="J117" s="288">
        <f t="shared" si="65"/>
        <v>0</v>
      </c>
      <c r="K117" s="288">
        <f t="shared" si="65"/>
        <v>0</v>
      </c>
      <c r="L117" s="288">
        <f t="shared" si="65"/>
        <v>0</v>
      </c>
      <c r="M117" s="288">
        <f t="shared" si="65"/>
        <v>0</v>
      </c>
      <c r="N117" s="288">
        <f t="shared" si="65"/>
        <v>0</v>
      </c>
      <c r="O117" s="288">
        <f t="shared" si="65"/>
        <v>0</v>
      </c>
      <c r="P117" s="288">
        <f t="shared" si="65"/>
        <v>0</v>
      </c>
      <c r="Q117" s="288">
        <f t="shared" si="65"/>
        <v>0</v>
      </c>
      <c r="R117" s="288">
        <f t="shared" si="65"/>
        <v>0</v>
      </c>
      <c r="S117" s="288">
        <f t="shared" si="65"/>
        <v>0</v>
      </c>
      <c r="T117" s="288">
        <f t="shared" si="65"/>
        <v>0</v>
      </c>
      <c r="U117" s="288">
        <f t="shared" si="65"/>
        <v>0</v>
      </c>
      <c r="V117" s="288">
        <f t="shared" si="65"/>
        <v>0</v>
      </c>
      <c r="W117" s="288">
        <f t="shared" si="61"/>
        <v>0</v>
      </c>
      <c r="X117" s="288">
        <f t="shared" si="61"/>
        <v>0</v>
      </c>
      <c r="Y117" s="288">
        <f t="shared" si="61"/>
        <v>0</v>
      </c>
      <c r="Z117" s="288">
        <f t="shared" si="61"/>
        <v>1671408</v>
      </c>
      <c r="AA117" s="288">
        <f t="shared" si="61"/>
        <v>1671408</v>
      </c>
    </row>
    <row r="118" spans="2:27" x14ac:dyDescent="0.3">
      <c r="B118" s="297" t="s">
        <v>185</v>
      </c>
      <c r="C118" s="297"/>
      <c r="D118" s="301"/>
      <c r="E118" s="297"/>
      <c r="F118" s="297"/>
      <c r="G118" s="298"/>
      <c r="H118" s="298"/>
      <c r="I118" s="298"/>
      <c r="J118" s="298"/>
      <c r="K118" s="298"/>
      <c r="L118" s="298"/>
      <c r="M118" s="298"/>
      <c r="N118" s="298"/>
      <c r="O118" s="298"/>
      <c r="P118" s="298"/>
      <c r="Q118" s="298"/>
      <c r="R118" s="298"/>
      <c r="S118" s="298"/>
      <c r="T118" s="298"/>
      <c r="U118" s="298"/>
      <c r="V118" s="298"/>
      <c r="W118" s="298"/>
      <c r="X118" s="298"/>
      <c r="Y118" s="298"/>
      <c r="Z118" s="298"/>
      <c r="AA118" s="298"/>
    </row>
    <row r="119" spans="2:27" x14ac:dyDescent="0.3">
      <c r="B119" s="299" t="str">
        <f>+B118</f>
        <v>Cachuela Esperanza</v>
      </c>
      <c r="C119" s="300">
        <v>2029</v>
      </c>
      <c r="D119" s="286">
        <v>990</v>
      </c>
      <c r="E119" s="302">
        <v>0.65725750657257509</v>
      </c>
      <c r="F119" s="300"/>
      <c r="G119" s="288">
        <f t="shared" ref="G119:V119" si="66">+IF($C119&lt;=G$52,$D119*8760*$E119,0)</f>
        <v>0</v>
      </c>
      <c r="H119" s="288">
        <f t="shared" si="66"/>
        <v>0</v>
      </c>
      <c r="I119" s="288">
        <f t="shared" si="66"/>
        <v>0</v>
      </c>
      <c r="J119" s="288">
        <f t="shared" si="66"/>
        <v>0</v>
      </c>
      <c r="K119" s="288">
        <f t="shared" si="66"/>
        <v>0</v>
      </c>
      <c r="L119" s="288">
        <f t="shared" si="66"/>
        <v>0</v>
      </c>
      <c r="M119" s="288">
        <f t="shared" si="66"/>
        <v>0</v>
      </c>
      <c r="N119" s="288">
        <f t="shared" si="66"/>
        <v>0</v>
      </c>
      <c r="O119" s="288">
        <f t="shared" si="66"/>
        <v>0</v>
      </c>
      <c r="P119" s="288">
        <f t="shared" si="66"/>
        <v>0</v>
      </c>
      <c r="Q119" s="288">
        <f t="shared" si="66"/>
        <v>0</v>
      </c>
      <c r="R119" s="288">
        <f t="shared" si="66"/>
        <v>0</v>
      </c>
      <c r="S119" s="288">
        <f t="shared" si="66"/>
        <v>0</v>
      </c>
      <c r="T119" s="288">
        <f t="shared" si="66"/>
        <v>0</v>
      </c>
      <c r="U119" s="288">
        <f t="shared" si="66"/>
        <v>0</v>
      </c>
      <c r="V119" s="288">
        <f t="shared" si="66"/>
        <v>0</v>
      </c>
      <c r="W119" s="288">
        <f t="shared" si="61"/>
        <v>0</v>
      </c>
      <c r="X119" s="288">
        <f t="shared" si="61"/>
        <v>0</v>
      </c>
      <c r="Y119" s="288">
        <f t="shared" si="61"/>
        <v>0</v>
      </c>
      <c r="Z119" s="288">
        <f t="shared" si="61"/>
        <v>5700000</v>
      </c>
      <c r="AA119" s="288">
        <f t="shared" si="61"/>
        <v>5700000</v>
      </c>
    </row>
    <row r="120" spans="2:27" x14ac:dyDescent="0.3">
      <c r="B120" s="297" t="s">
        <v>186</v>
      </c>
      <c r="C120" s="297"/>
      <c r="D120" s="301"/>
      <c r="E120" s="297"/>
      <c r="F120" s="297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8"/>
      <c r="T120" s="298"/>
      <c r="U120" s="298"/>
      <c r="V120" s="298"/>
      <c r="W120" s="298"/>
      <c r="X120" s="298"/>
      <c r="Y120" s="298"/>
      <c r="Z120" s="298"/>
      <c r="AA120" s="298"/>
    </row>
    <row r="121" spans="2:27" x14ac:dyDescent="0.3">
      <c r="B121" s="299" t="str">
        <f>B120</f>
        <v>El Bala</v>
      </c>
      <c r="C121" s="300">
        <v>2030</v>
      </c>
      <c r="D121" s="286">
        <v>1680</v>
      </c>
      <c r="E121" s="300">
        <v>0.5</v>
      </c>
      <c r="F121" s="300"/>
      <c r="G121" s="288">
        <f t="shared" ref="G121:V121" si="67">+IF($C121&lt;=G$52,$D121*8760*$E121,0)</f>
        <v>0</v>
      </c>
      <c r="H121" s="288">
        <f t="shared" si="67"/>
        <v>0</v>
      </c>
      <c r="I121" s="288">
        <f t="shared" si="67"/>
        <v>0</v>
      </c>
      <c r="J121" s="288">
        <f t="shared" si="67"/>
        <v>0</v>
      </c>
      <c r="K121" s="288">
        <f t="shared" si="67"/>
        <v>0</v>
      </c>
      <c r="L121" s="288">
        <f t="shared" si="67"/>
        <v>0</v>
      </c>
      <c r="M121" s="288">
        <f t="shared" si="67"/>
        <v>0</v>
      </c>
      <c r="N121" s="288">
        <f t="shared" si="67"/>
        <v>0</v>
      </c>
      <c r="O121" s="288">
        <f t="shared" si="67"/>
        <v>0</v>
      </c>
      <c r="P121" s="288">
        <f t="shared" si="67"/>
        <v>0</v>
      </c>
      <c r="Q121" s="288">
        <f t="shared" si="67"/>
        <v>0</v>
      </c>
      <c r="R121" s="288">
        <f t="shared" si="67"/>
        <v>0</v>
      </c>
      <c r="S121" s="288">
        <f t="shared" si="67"/>
        <v>0</v>
      </c>
      <c r="T121" s="288">
        <f t="shared" si="67"/>
        <v>0</v>
      </c>
      <c r="U121" s="288">
        <f t="shared" si="67"/>
        <v>0</v>
      </c>
      <c r="V121" s="288">
        <f t="shared" si="67"/>
        <v>0</v>
      </c>
      <c r="W121" s="288">
        <f t="shared" si="61"/>
        <v>0</v>
      </c>
      <c r="X121" s="288">
        <f t="shared" si="61"/>
        <v>0</v>
      </c>
      <c r="Y121" s="288">
        <f t="shared" si="61"/>
        <v>0</v>
      </c>
      <c r="Z121" s="288">
        <f t="shared" si="61"/>
        <v>0</v>
      </c>
      <c r="AA121" s="288">
        <f t="shared" si="61"/>
        <v>7358400</v>
      </c>
    </row>
    <row r="122" spans="2:27" x14ac:dyDescent="0.3">
      <c r="B122" s="297" t="s">
        <v>187</v>
      </c>
      <c r="C122" s="297"/>
      <c r="D122" s="297"/>
      <c r="E122" s="297"/>
      <c r="F122" s="297"/>
      <c r="G122" s="298"/>
      <c r="H122" s="298"/>
      <c r="I122" s="298"/>
      <c r="J122" s="298"/>
      <c r="K122" s="298"/>
      <c r="L122" s="298"/>
      <c r="M122" s="298"/>
      <c r="N122" s="298"/>
      <c r="O122" s="298"/>
      <c r="P122" s="298"/>
      <c r="Q122" s="298"/>
      <c r="R122" s="298"/>
      <c r="S122" s="298"/>
      <c r="T122" s="298"/>
      <c r="U122" s="298"/>
      <c r="V122" s="298"/>
      <c r="W122" s="298"/>
      <c r="X122" s="298"/>
      <c r="Y122" s="298"/>
      <c r="Z122" s="298"/>
      <c r="AA122" s="298"/>
    </row>
    <row r="123" spans="2:27" x14ac:dyDescent="0.3">
      <c r="B123" s="299" t="str">
        <f>B122</f>
        <v>Hydro A</v>
      </c>
      <c r="C123" s="300"/>
      <c r="D123" s="300"/>
      <c r="E123" s="300"/>
      <c r="F123" s="300"/>
      <c r="G123" s="288">
        <f t="shared" ref="G123:V123" si="68">+IF($C123&lt;=G$52,$D123*8760*$E123,0)</f>
        <v>0</v>
      </c>
      <c r="H123" s="288">
        <f t="shared" si="68"/>
        <v>0</v>
      </c>
      <c r="I123" s="288">
        <f t="shared" si="68"/>
        <v>0</v>
      </c>
      <c r="J123" s="288">
        <f t="shared" si="68"/>
        <v>0</v>
      </c>
      <c r="K123" s="288">
        <f t="shared" si="68"/>
        <v>0</v>
      </c>
      <c r="L123" s="288">
        <f t="shared" si="68"/>
        <v>0</v>
      </c>
      <c r="M123" s="288">
        <f t="shared" si="68"/>
        <v>0</v>
      </c>
      <c r="N123" s="288">
        <f t="shared" si="68"/>
        <v>0</v>
      </c>
      <c r="O123" s="288">
        <f t="shared" si="68"/>
        <v>0</v>
      </c>
      <c r="P123" s="288">
        <f t="shared" si="68"/>
        <v>0</v>
      </c>
      <c r="Q123" s="288">
        <f t="shared" si="68"/>
        <v>0</v>
      </c>
      <c r="R123" s="288">
        <f t="shared" si="68"/>
        <v>0</v>
      </c>
      <c r="S123" s="288">
        <f t="shared" si="68"/>
        <v>0</v>
      </c>
      <c r="T123" s="288">
        <f t="shared" si="68"/>
        <v>0</v>
      </c>
      <c r="U123" s="288">
        <f t="shared" si="68"/>
        <v>0</v>
      </c>
      <c r="V123" s="288">
        <f t="shared" si="68"/>
        <v>0</v>
      </c>
      <c r="W123" s="288">
        <f t="shared" si="61"/>
        <v>0</v>
      </c>
      <c r="X123" s="288">
        <f t="shared" si="61"/>
        <v>0</v>
      </c>
      <c r="Y123" s="288">
        <f t="shared" si="61"/>
        <v>0</v>
      </c>
      <c r="Z123" s="288">
        <f t="shared" si="61"/>
        <v>0</v>
      </c>
      <c r="AA123" s="288">
        <f t="shared" si="61"/>
        <v>0</v>
      </c>
    </row>
    <row r="124" spans="2:27" x14ac:dyDescent="0.3">
      <c r="B124" s="297" t="s">
        <v>188</v>
      </c>
      <c r="C124" s="297"/>
      <c r="D124" s="297"/>
      <c r="E124" s="297"/>
      <c r="F124" s="297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8"/>
      <c r="W124" s="298"/>
      <c r="X124" s="298"/>
      <c r="Y124" s="298"/>
      <c r="Z124" s="298"/>
      <c r="AA124" s="298"/>
    </row>
    <row r="125" spans="2:27" x14ac:dyDescent="0.3">
      <c r="B125" s="299" t="str">
        <f>B124</f>
        <v>Hydro B</v>
      </c>
      <c r="C125" s="300"/>
      <c r="D125" s="300"/>
      <c r="E125" s="300"/>
      <c r="F125" s="300"/>
      <c r="G125" s="288">
        <f t="shared" ref="G125:V127" si="69">+IF($C125&lt;=G$52,$D125*8760*$E125,0)</f>
        <v>0</v>
      </c>
      <c r="H125" s="288">
        <f t="shared" si="69"/>
        <v>0</v>
      </c>
      <c r="I125" s="288">
        <f t="shared" si="69"/>
        <v>0</v>
      </c>
      <c r="J125" s="288">
        <f t="shared" si="69"/>
        <v>0</v>
      </c>
      <c r="K125" s="288">
        <f t="shared" si="69"/>
        <v>0</v>
      </c>
      <c r="L125" s="288">
        <f t="shared" si="69"/>
        <v>0</v>
      </c>
      <c r="M125" s="288">
        <f t="shared" si="69"/>
        <v>0</v>
      </c>
      <c r="N125" s="288">
        <f t="shared" si="69"/>
        <v>0</v>
      </c>
      <c r="O125" s="288">
        <f t="shared" si="69"/>
        <v>0</v>
      </c>
      <c r="P125" s="288">
        <f t="shared" si="69"/>
        <v>0</v>
      </c>
      <c r="Q125" s="288">
        <f t="shared" si="69"/>
        <v>0</v>
      </c>
      <c r="R125" s="288">
        <f t="shared" si="69"/>
        <v>0</v>
      </c>
      <c r="S125" s="288">
        <f t="shared" si="69"/>
        <v>0</v>
      </c>
      <c r="T125" s="288">
        <f t="shared" si="69"/>
        <v>0</v>
      </c>
      <c r="U125" s="288">
        <f t="shared" si="69"/>
        <v>0</v>
      </c>
      <c r="V125" s="288">
        <f t="shared" si="69"/>
        <v>0</v>
      </c>
      <c r="W125" s="288">
        <f t="shared" si="61"/>
        <v>0</v>
      </c>
      <c r="X125" s="288">
        <f t="shared" si="61"/>
        <v>0</v>
      </c>
      <c r="Y125" s="288">
        <f t="shared" si="61"/>
        <v>0</v>
      </c>
      <c r="Z125" s="288">
        <f t="shared" si="61"/>
        <v>0</v>
      </c>
      <c r="AA125" s="288">
        <f t="shared" si="61"/>
        <v>0</v>
      </c>
    </row>
    <row r="126" spans="2:27" x14ac:dyDescent="0.3">
      <c r="B126" s="297" t="s">
        <v>189</v>
      </c>
      <c r="C126" s="297"/>
      <c r="D126" s="297"/>
      <c r="E126" s="297"/>
      <c r="F126" s="297"/>
      <c r="G126" s="298"/>
      <c r="H126" s="298"/>
      <c r="I126" s="298"/>
      <c r="J126" s="298"/>
      <c r="K126" s="298"/>
      <c r="L126" s="298"/>
      <c r="M126" s="298"/>
      <c r="N126" s="298"/>
      <c r="O126" s="298"/>
      <c r="P126" s="298"/>
      <c r="Q126" s="298"/>
      <c r="R126" s="298"/>
      <c r="S126" s="298"/>
      <c r="T126" s="298"/>
      <c r="U126" s="298"/>
      <c r="V126" s="298"/>
      <c r="W126" s="298"/>
      <c r="X126" s="298"/>
      <c r="Y126" s="298"/>
      <c r="Z126" s="298"/>
      <c r="AA126" s="298"/>
    </row>
    <row r="127" spans="2:27" x14ac:dyDescent="0.3">
      <c r="B127" s="299" t="str">
        <f>B126</f>
        <v>Hydro C</v>
      </c>
      <c r="C127" s="300"/>
      <c r="D127" s="300"/>
      <c r="E127" s="300"/>
      <c r="F127" s="300"/>
      <c r="G127" s="288">
        <f t="shared" si="69"/>
        <v>0</v>
      </c>
      <c r="H127" s="288">
        <f t="shared" si="69"/>
        <v>0</v>
      </c>
      <c r="I127" s="288">
        <f t="shared" si="69"/>
        <v>0</v>
      </c>
      <c r="J127" s="288">
        <f t="shared" si="69"/>
        <v>0</v>
      </c>
      <c r="K127" s="288">
        <f t="shared" si="69"/>
        <v>0</v>
      </c>
      <c r="L127" s="288">
        <f t="shared" si="69"/>
        <v>0</v>
      </c>
      <c r="M127" s="288">
        <f t="shared" si="69"/>
        <v>0</v>
      </c>
      <c r="N127" s="288">
        <f t="shared" si="69"/>
        <v>0</v>
      </c>
      <c r="O127" s="288">
        <f t="shared" si="69"/>
        <v>0</v>
      </c>
      <c r="P127" s="288">
        <f t="shared" si="69"/>
        <v>0</v>
      </c>
      <c r="Q127" s="288">
        <f t="shared" si="69"/>
        <v>0</v>
      </c>
      <c r="R127" s="288">
        <f t="shared" si="69"/>
        <v>0</v>
      </c>
      <c r="S127" s="288">
        <f t="shared" si="69"/>
        <v>0</v>
      </c>
      <c r="T127" s="288">
        <f t="shared" si="69"/>
        <v>0</v>
      </c>
      <c r="U127" s="288">
        <f t="shared" si="69"/>
        <v>0</v>
      </c>
      <c r="V127" s="288">
        <f t="shared" si="69"/>
        <v>0</v>
      </c>
      <c r="W127" s="288">
        <f t="shared" si="61"/>
        <v>0</v>
      </c>
      <c r="X127" s="288">
        <f t="shared" si="61"/>
        <v>0</v>
      </c>
      <c r="Y127" s="288">
        <f t="shared" si="61"/>
        <v>0</v>
      </c>
      <c r="Z127" s="288">
        <f t="shared" si="61"/>
        <v>0</v>
      </c>
      <c r="AA127" s="288">
        <f t="shared" si="61"/>
        <v>0</v>
      </c>
    </row>
    <row r="128" spans="2:27" x14ac:dyDescent="0.3">
      <c r="B128" s="231"/>
      <c r="C128" s="303"/>
      <c r="D128" s="303"/>
      <c r="E128" s="303"/>
      <c r="F128" s="303"/>
      <c r="G128" s="304"/>
      <c r="H128" s="304"/>
      <c r="I128" s="304"/>
      <c r="J128" s="304"/>
      <c r="K128" s="304"/>
      <c r="L128" s="304"/>
      <c r="M128" s="304"/>
      <c r="N128" s="304"/>
      <c r="O128" s="304"/>
      <c r="P128" s="304"/>
      <c r="Q128" s="304"/>
      <c r="R128" s="304"/>
      <c r="S128" s="304"/>
      <c r="T128" s="304"/>
      <c r="U128" s="304"/>
      <c r="V128" s="304"/>
      <c r="W128" s="304"/>
      <c r="X128" s="304"/>
      <c r="Y128" s="304"/>
      <c r="Z128" s="304"/>
      <c r="AA128" s="304"/>
    </row>
    <row r="129" spans="2:27" x14ac:dyDescent="0.3">
      <c r="B129" s="219"/>
      <c r="C129" s="219"/>
      <c r="D129" s="219"/>
      <c r="E129" s="219"/>
      <c r="F129" s="219"/>
      <c r="G129" s="268"/>
      <c r="H129" s="268"/>
      <c r="I129" s="268"/>
      <c r="J129" s="268"/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  <c r="AA129" s="268"/>
    </row>
    <row r="130" spans="2:27" x14ac:dyDescent="0.3">
      <c r="B130" s="243"/>
      <c r="C130" s="211"/>
      <c r="D130" s="211"/>
      <c r="E130" s="211"/>
      <c r="F130" s="244"/>
      <c r="G130" s="212">
        <v>2010</v>
      </c>
      <c r="H130" s="212">
        <v>2011</v>
      </c>
      <c r="I130" s="212">
        <v>2012</v>
      </c>
      <c r="J130" s="212">
        <v>2013</v>
      </c>
      <c r="K130" s="212">
        <v>2014</v>
      </c>
      <c r="L130" s="212">
        <v>2015</v>
      </c>
      <c r="M130" s="212">
        <v>2016</v>
      </c>
      <c r="N130" s="212">
        <v>2017</v>
      </c>
      <c r="O130" s="212">
        <v>2018</v>
      </c>
      <c r="P130" s="212">
        <v>2019</v>
      </c>
      <c r="Q130" s="212">
        <v>2020</v>
      </c>
      <c r="R130" s="212">
        <v>2021</v>
      </c>
      <c r="S130" s="212">
        <v>2022</v>
      </c>
      <c r="T130" s="212">
        <v>2023</v>
      </c>
      <c r="U130" s="212">
        <v>2024</v>
      </c>
      <c r="V130" s="212">
        <v>2025</v>
      </c>
      <c r="W130" s="212">
        <v>2026</v>
      </c>
      <c r="X130" s="212">
        <v>2027</v>
      </c>
      <c r="Y130" s="212">
        <v>2028</v>
      </c>
      <c r="Z130" s="212">
        <v>2029</v>
      </c>
      <c r="AA130" s="212">
        <v>2030</v>
      </c>
    </row>
    <row r="131" spans="2:27" ht="28.8" x14ac:dyDescent="0.3">
      <c r="B131" s="291" t="s">
        <v>164</v>
      </c>
      <c r="C131" s="292" t="s">
        <v>139</v>
      </c>
      <c r="D131" s="274" t="s">
        <v>140</v>
      </c>
      <c r="E131" s="293" t="s">
        <v>141</v>
      </c>
      <c r="F131" s="293"/>
      <c r="G131" s="294" t="s">
        <v>143</v>
      </c>
      <c r="H131" s="294" t="s">
        <v>143</v>
      </c>
      <c r="I131" s="294" t="s">
        <v>143</v>
      </c>
      <c r="J131" s="294" t="s">
        <v>143</v>
      </c>
      <c r="K131" s="294" t="s">
        <v>143</v>
      </c>
      <c r="L131" s="294" t="s">
        <v>143</v>
      </c>
      <c r="M131" s="294" t="s">
        <v>143</v>
      </c>
      <c r="N131" s="294" t="s">
        <v>143</v>
      </c>
      <c r="O131" s="294" t="s">
        <v>143</v>
      </c>
      <c r="P131" s="294" t="s">
        <v>143</v>
      </c>
      <c r="Q131" s="294" t="s">
        <v>143</v>
      </c>
      <c r="R131" s="294" t="s">
        <v>143</v>
      </c>
      <c r="S131" s="294" t="s">
        <v>143</v>
      </c>
      <c r="T131" s="294" t="s">
        <v>143</v>
      </c>
      <c r="U131" s="294" t="s">
        <v>143</v>
      </c>
      <c r="V131" s="294" t="s">
        <v>143</v>
      </c>
      <c r="W131" s="294" t="s">
        <v>143</v>
      </c>
      <c r="X131" s="294" t="s">
        <v>143</v>
      </c>
      <c r="Y131" s="294" t="s">
        <v>143</v>
      </c>
      <c r="Z131" s="294" t="s">
        <v>143</v>
      </c>
      <c r="AA131" s="294" t="s">
        <v>143</v>
      </c>
    </row>
    <row r="132" spans="2:27" x14ac:dyDescent="0.3">
      <c r="B132" s="305" t="s">
        <v>190</v>
      </c>
      <c r="C132" s="306"/>
      <c r="D132" s="306"/>
      <c r="E132" s="306"/>
      <c r="F132" s="306"/>
      <c r="G132" s="307">
        <f>+SUM(G133:G147)</f>
        <v>0</v>
      </c>
      <c r="H132" s="307">
        <f t="shared" ref="H132:Z132" si="70">+SUM(H133:H147)</f>
        <v>0</v>
      </c>
      <c r="I132" s="307">
        <f t="shared" si="70"/>
        <v>0</v>
      </c>
      <c r="J132" s="307">
        <f t="shared" si="70"/>
        <v>0</v>
      </c>
      <c r="K132" s="307">
        <f t="shared" si="70"/>
        <v>0</v>
      </c>
      <c r="L132" s="307">
        <f t="shared" si="70"/>
        <v>0</v>
      </c>
      <c r="M132" s="307">
        <f t="shared" si="70"/>
        <v>0</v>
      </c>
      <c r="N132" s="307">
        <f t="shared" si="70"/>
        <v>0</v>
      </c>
      <c r="O132" s="307">
        <f t="shared" si="70"/>
        <v>0</v>
      </c>
      <c r="P132" s="307">
        <f t="shared" si="70"/>
        <v>0</v>
      </c>
      <c r="Q132" s="307">
        <f>+SUM(Q133:Q147)</f>
        <v>331128</v>
      </c>
      <c r="R132" s="307">
        <f>+SUM(R133:R147)</f>
        <v>469098</v>
      </c>
      <c r="S132" s="307">
        <f>+SUM(S133:S147)</f>
        <v>469098</v>
      </c>
      <c r="T132" s="307">
        <f t="shared" si="70"/>
        <v>469098</v>
      </c>
      <c r="U132" s="307">
        <f t="shared" si="70"/>
        <v>469098</v>
      </c>
      <c r="V132" s="307">
        <f t="shared" si="70"/>
        <v>469098</v>
      </c>
      <c r="W132" s="307">
        <f t="shared" si="70"/>
        <v>469098</v>
      </c>
      <c r="X132" s="307">
        <f t="shared" si="70"/>
        <v>469098</v>
      </c>
      <c r="Y132" s="307">
        <f t="shared" si="70"/>
        <v>469098</v>
      </c>
      <c r="Z132" s="307">
        <f t="shared" si="70"/>
        <v>469098</v>
      </c>
      <c r="AA132" s="307">
        <f>+SUM(AA133:AA147)</f>
        <v>1315314</v>
      </c>
    </row>
    <row r="133" spans="2:27" x14ac:dyDescent="0.3">
      <c r="B133" s="297" t="s">
        <v>191</v>
      </c>
      <c r="C133" s="297"/>
      <c r="D133" s="297"/>
      <c r="E133" s="297"/>
      <c r="F133" s="297"/>
      <c r="G133" s="298"/>
      <c r="H133" s="298"/>
      <c r="I133" s="298"/>
      <c r="J133" s="298"/>
      <c r="K133" s="298"/>
      <c r="L133" s="298"/>
      <c r="M133" s="298"/>
      <c r="N133" s="298"/>
      <c r="O133" s="298"/>
      <c r="P133" s="298"/>
      <c r="Q133" s="298"/>
      <c r="R133" s="298"/>
      <c r="S133" s="298"/>
      <c r="T133" s="298"/>
      <c r="U133" s="298"/>
      <c r="V133" s="298"/>
      <c r="W133" s="298"/>
      <c r="X133" s="298"/>
      <c r="Y133" s="298"/>
      <c r="Z133" s="298"/>
      <c r="AA133" s="298"/>
    </row>
    <row r="134" spans="2:27" x14ac:dyDescent="0.3">
      <c r="B134" s="299" t="s">
        <v>191</v>
      </c>
      <c r="C134" s="285">
        <v>2020</v>
      </c>
      <c r="D134" s="286">
        <v>54</v>
      </c>
      <c r="E134" s="300">
        <v>0.35</v>
      </c>
      <c r="F134" s="300"/>
      <c r="G134" s="288">
        <f>+IF($C134&lt;=G$52,$D134*8760*$E134,0)</f>
        <v>0</v>
      </c>
      <c r="H134" s="288">
        <f t="shared" ref="H134:AA147" si="71">+IF($C134&lt;=H$52,$D134*8760*$E134,0)</f>
        <v>0</v>
      </c>
      <c r="I134" s="288">
        <f t="shared" si="71"/>
        <v>0</v>
      </c>
      <c r="J134" s="288">
        <f t="shared" si="71"/>
        <v>0</v>
      </c>
      <c r="K134" s="288">
        <f t="shared" si="71"/>
        <v>0</v>
      </c>
      <c r="L134" s="288">
        <f t="shared" si="71"/>
        <v>0</v>
      </c>
      <c r="M134" s="288">
        <f t="shared" si="71"/>
        <v>0</v>
      </c>
      <c r="N134" s="288">
        <f t="shared" si="71"/>
        <v>0</v>
      </c>
      <c r="O134" s="288">
        <f t="shared" si="71"/>
        <v>0</v>
      </c>
      <c r="P134" s="288">
        <f t="shared" si="71"/>
        <v>0</v>
      </c>
      <c r="Q134" s="288">
        <f t="shared" si="71"/>
        <v>165564</v>
      </c>
      <c r="R134" s="288">
        <f t="shared" si="71"/>
        <v>165564</v>
      </c>
      <c r="S134" s="288">
        <f t="shared" si="71"/>
        <v>165564</v>
      </c>
      <c r="T134" s="288">
        <f t="shared" si="71"/>
        <v>165564</v>
      </c>
      <c r="U134" s="288">
        <f t="shared" si="71"/>
        <v>165564</v>
      </c>
      <c r="V134" s="288">
        <f t="shared" si="71"/>
        <v>165564</v>
      </c>
      <c r="W134" s="288">
        <f t="shared" si="71"/>
        <v>165564</v>
      </c>
      <c r="X134" s="288">
        <f t="shared" si="71"/>
        <v>165564</v>
      </c>
      <c r="Y134" s="288">
        <f t="shared" si="71"/>
        <v>165564</v>
      </c>
      <c r="Z134" s="288">
        <f t="shared" si="71"/>
        <v>165564</v>
      </c>
      <c r="AA134" s="288">
        <f t="shared" si="71"/>
        <v>165564</v>
      </c>
    </row>
    <row r="135" spans="2:27" x14ac:dyDescent="0.3">
      <c r="B135" s="297" t="s">
        <v>192</v>
      </c>
      <c r="C135" s="297"/>
      <c r="D135" s="308"/>
      <c r="E135" s="308"/>
      <c r="F135" s="308"/>
      <c r="G135" s="298"/>
      <c r="H135" s="298"/>
      <c r="I135" s="298"/>
      <c r="J135" s="298"/>
      <c r="K135" s="298"/>
      <c r="L135" s="298"/>
      <c r="M135" s="298"/>
      <c r="N135" s="298"/>
      <c r="O135" s="298"/>
      <c r="P135" s="298"/>
      <c r="Q135" s="298"/>
      <c r="R135" s="298"/>
      <c r="S135" s="298"/>
      <c r="T135" s="298"/>
      <c r="U135" s="298"/>
      <c r="V135" s="298"/>
      <c r="W135" s="298"/>
      <c r="X135" s="298"/>
      <c r="Y135" s="298"/>
      <c r="Z135" s="298"/>
      <c r="AA135" s="298"/>
    </row>
    <row r="136" spans="2:27" x14ac:dyDescent="0.3">
      <c r="B136" s="299" t="s">
        <v>192</v>
      </c>
      <c r="C136" s="285">
        <v>2021</v>
      </c>
      <c r="D136" s="286">
        <v>24</v>
      </c>
      <c r="E136" s="300">
        <v>0.35</v>
      </c>
      <c r="F136" s="300"/>
      <c r="G136" s="288">
        <f>+IF($C136&lt;=G$52,$D136*8760*$E136,0)</f>
        <v>0</v>
      </c>
      <c r="H136" s="288">
        <f t="shared" si="71"/>
        <v>0</v>
      </c>
      <c r="I136" s="288">
        <f t="shared" si="71"/>
        <v>0</v>
      </c>
      <c r="J136" s="288">
        <f t="shared" si="71"/>
        <v>0</v>
      </c>
      <c r="K136" s="288">
        <f t="shared" si="71"/>
        <v>0</v>
      </c>
      <c r="L136" s="288">
        <f t="shared" si="71"/>
        <v>0</v>
      </c>
      <c r="M136" s="288">
        <f t="shared" si="71"/>
        <v>0</v>
      </c>
      <c r="N136" s="288">
        <f t="shared" si="71"/>
        <v>0</v>
      </c>
      <c r="O136" s="288">
        <f t="shared" si="71"/>
        <v>0</v>
      </c>
      <c r="P136" s="288">
        <f t="shared" si="71"/>
        <v>0</v>
      </c>
      <c r="Q136" s="288">
        <f t="shared" si="71"/>
        <v>0</v>
      </c>
      <c r="R136" s="288">
        <f t="shared" si="71"/>
        <v>73584</v>
      </c>
      <c r="S136" s="288">
        <f t="shared" si="71"/>
        <v>73584</v>
      </c>
      <c r="T136" s="288">
        <f t="shared" si="71"/>
        <v>73584</v>
      </c>
      <c r="U136" s="288">
        <f t="shared" si="71"/>
        <v>73584</v>
      </c>
      <c r="V136" s="288">
        <f t="shared" si="71"/>
        <v>73584</v>
      </c>
      <c r="W136" s="288">
        <f t="shared" si="71"/>
        <v>73584</v>
      </c>
      <c r="X136" s="288">
        <f t="shared" si="71"/>
        <v>73584</v>
      </c>
      <c r="Y136" s="288">
        <f t="shared" si="71"/>
        <v>73584</v>
      </c>
      <c r="Z136" s="288">
        <f t="shared" si="71"/>
        <v>73584</v>
      </c>
      <c r="AA136" s="288">
        <f t="shared" si="71"/>
        <v>73584</v>
      </c>
    </row>
    <row r="137" spans="2:27" x14ac:dyDescent="0.3">
      <c r="B137" s="297" t="s">
        <v>193</v>
      </c>
      <c r="C137" s="297"/>
      <c r="D137" s="308"/>
      <c r="E137" s="308"/>
      <c r="F137" s="308"/>
      <c r="G137" s="298"/>
      <c r="H137" s="298"/>
      <c r="I137" s="298"/>
      <c r="J137" s="298"/>
      <c r="K137" s="298"/>
      <c r="L137" s="298"/>
      <c r="M137" s="298"/>
      <c r="N137" s="298"/>
      <c r="O137" s="298"/>
      <c r="P137" s="298"/>
      <c r="Q137" s="298"/>
      <c r="R137" s="298"/>
      <c r="S137" s="298"/>
      <c r="T137" s="298"/>
      <c r="U137" s="298"/>
      <c r="V137" s="298"/>
      <c r="W137" s="298"/>
      <c r="X137" s="298"/>
      <c r="Y137" s="298"/>
      <c r="Z137" s="298"/>
      <c r="AA137" s="298"/>
    </row>
    <row r="138" spans="2:27" x14ac:dyDescent="0.3">
      <c r="B138" s="299" t="s">
        <v>193</v>
      </c>
      <c r="C138" s="285">
        <v>2020</v>
      </c>
      <c r="D138" s="286">
        <v>39.6</v>
      </c>
      <c r="E138" s="300">
        <v>0.35</v>
      </c>
      <c r="F138" s="300"/>
      <c r="G138" s="288">
        <f>+IF($C138&lt;=G$52,$D138*8760*$E138,0)</f>
        <v>0</v>
      </c>
      <c r="H138" s="288">
        <f t="shared" si="71"/>
        <v>0</v>
      </c>
      <c r="I138" s="288">
        <f t="shared" si="71"/>
        <v>0</v>
      </c>
      <c r="J138" s="288">
        <f t="shared" si="71"/>
        <v>0</v>
      </c>
      <c r="K138" s="288">
        <f t="shared" si="71"/>
        <v>0</v>
      </c>
      <c r="L138" s="288">
        <f t="shared" si="71"/>
        <v>0</v>
      </c>
      <c r="M138" s="288">
        <f t="shared" si="71"/>
        <v>0</v>
      </c>
      <c r="N138" s="288">
        <f t="shared" si="71"/>
        <v>0</v>
      </c>
      <c r="O138" s="288">
        <f t="shared" si="71"/>
        <v>0</v>
      </c>
      <c r="P138" s="288">
        <f t="shared" si="71"/>
        <v>0</v>
      </c>
      <c r="Q138" s="288">
        <f t="shared" si="71"/>
        <v>121413.59999999999</v>
      </c>
      <c r="R138" s="288">
        <f t="shared" si="71"/>
        <v>121413.59999999999</v>
      </c>
      <c r="S138" s="288">
        <f t="shared" si="71"/>
        <v>121413.59999999999</v>
      </c>
      <c r="T138" s="288">
        <f t="shared" si="71"/>
        <v>121413.59999999999</v>
      </c>
      <c r="U138" s="288">
        <f t="shared" si="71"/>
        <v>121413.59999999999</v>
      </c>
      <c r="V138" s="288">
        <f t="shared" si="71"/>
        <v>121413.59999999999</v>
      </c>
      <c r="W138" s="288">
        <f t="shared" si="71"/>
        <v>121413.59999999999</v>
      </c>
      <c r="X138" s="288">
        <f t="shared" si="71"/>
        <v>121413.59999999999</v>
      </c>
      <c r="Y138" s="288">
        <f t="shared" si="71"/>
        <v>121413.59999999999</v>
      </c>
      <c r="Z138" s="288">
        <f t="shared" si="71"/>
        <v>121413.59999999999</v>
      </c>
      <c r="AA138" s="288">
        <f t="shared" si="71"/>
        <v>121413.59999999999</v>
      </c>
    </row>
    <row r="139" spans="2:27" x14ac:dyDescent="0.3">
      <c r="B139" s="297" t="s">
        <v>154</v>
      </c>
      <c r="C139" s="297"/>
      <c r="D139" s="297"/>
      <c r="E139" s="297"/>
      <c r="F139" s="297"/>
      <c r="G139" s="298"/>
      <c r="H139" s="298"/>
      <c r="I139" s="298"/>
      <c r="J139" s="298"/>
      <c r="K139" s="298"/>
      <c r="L139" s="298"/>
      <c r="M139" s="298"/>
      <c r="N139" s="298"/>
      <c r="O139" s="298"/>
      <c r="P139" s="298"/>
      <c r="Q139" s="298"/>
      <c r="R139" s="298"/>
      <c r="S139" s="298"/>
      <c r="T139" s="298"/>
      <c r="U139" s="298"/>
      <c r="V139" s="298"/>
      <c r="W139" s="298"/>
      <c r="X139" s="298"/>
      <c r="Y139" s="298"/>
      <c r="Z139" s="298"/>
      <c r="AA139" s="298"/>
    </row>
    <row r="140" spans="2:27" x14ac:dyDescent="0.3">
      <c r="B140" s="299" t="s">
        <v>194</v>
      </c>
      <c r="C140" s="300">
        <v>2020</v>
      </c>
      <c r="D140" s="286">
        <v>14.4</v>
      </c>
      <c r="E140" s="300">
        <v>0.35</v>
      </c>
      <c r="F140" s="300"/>
      <c r="G140" s="288">
        <f>+IF($C140&lt;=G$52,$D140*8760*$E140,0)</f>
        <v>0</v>
      </c>
      <c r="H140" s="288">
        <f t="shared" si="71"/>
        <v>0</v>
      </c>
      <c r="I140" s="288">
        <f t="shared" si="71"/>
        <v>0</v>
      </c>
      <c r="J140" s="288">
        <f t="shared" si="71"/>
        <v>0</v>
      </c>
      <c r="K140" s="288">
        <f t="shared" si="71"/>
        <v>0</v>
      </c>
      <c r="L140" s="288">
        <f t="shared" si="71"/>
        <v>0</v>
      </c>
      <c r="M140" s="288">
        <f t="shared" si="71"/>
        <v>0</v>
      </c>
      <c r="N140" s="288">
        <f t="shared" si="71"/>
        <v>0</v>
      </c>
      <c r="O140" s="288">
        <f t="shared" si="71"/>
        <v>0</v>
      </c>
      <c r="P140" s="288">
        <f t="shared" si="71"/>
        <v>0</v>
      </c>
      <c r="Q140" s="288">
        <f t="shared" si="71"/>
        <v>44150.399999999994</v>
      </c>
      <c r="R140" s="288">
        <f t="shared" si="71"/>
        <v>44150.399999999994</v>
      </c>
      <c r="S140" s="288">
        <f t="shared" si="71"/>
        <v>44150.399999999994</v>
      </c>
      <c r="T140" s="288">
        <f t="shared" si="71"/>
        <v>44150.399999999994</v>
      </c>
      <c r="U140" s="288">
        <f t="shared" si="71"/>
        <v>44150.399999999994</v>
      </c>
      <c r="V140" s="288">
        <f t="shared" si="71"/>
        <v>44150.399999999994</v>
      </c>
      <c r="W140" s="288">
        <f t="shared" si="71"/>
        <v>44150.399999999994</v>
      </c>
      <c r="X140" s="288">
        <f t="shared" si="71"/>
        <v>44150.399999999994</v>
      </c>
      <c r="Y140" s="288">
        <f t="shared" si="71"/>
        <v>44150.399999999994</v>
      </c>
      <c r="Z140" s="288">
        <f t="shared" si="71"/>
        <v>44150.399999999994</v>
      </c>
      <c r="AA140" s="288">
        <f t="shared" si="71"/>
        <v>44150.399999999994</v>
      </c>
    </row>
    <row r="141" spans="2:27" x14ac:dyDescent="0.3">
      <c r="B141" s="299" t="s">
        <v>195</v>
      </c>
      <c r="C141" s="300">
        <v>2021</v>
      </c>
      <c r="D141" s="286">
        <v>21</v>
      </c>
      <c r="E141" s="300">
        <v>0.35</v>
      </c>
      <c r="F141" s="300"/>
      <c r="G141" s="288">
        <f>+IF($C141&lt;=G$52,$D141*8760*$E141,0)</f>
        <v>0</v>
      </c>
      <c r="H141" s="288">
        <f t="shared" si="71"/>
        <v>0</v>
      </c>
      <c r="I141" s="288">
        <f t="shared" si="71"/>
        <v>0</v>
      </c>
      <c r="J141" s="288">
        <f t="shared" si="71"/>
        <v>0</v>
      </c>
      <c r="K141" s="288">
        <f t="shared" si="71"/>
        <v>0</v>
      </c>
      <c r="L141" s="288">
        <f t="shared" si="71"/>
        <v>0</v>
      </c>
      <c r="M141" s="288">
        <f t="shared" si="71"/>
        <v>0</v>
      </c>
      <c r="N141" s="288">
        <f t="shared" si="71"/>
        <v>0</v>
      </c>
      <c r="O141" s="288">
        <f t="shared" si="71"/>
        <v>0</v>
      </c>
      <c r="P141" s="288">
        <f t="shared" si="71"/>
        <v>0</v>
      </c>
      <c r="Q141" s="288">
        <f t="shared" si="71"/>
        <v>0</v>
      </c>
      <c r="R141" s="288">
        <f t="shared" si="71"/>
        <v>64385.999999999993</v>
      </c>
      <c r="S141" s="288">
        <f t="shared" si="71"/>
        <v>64385.999999999993</v>
      </c>
      <c r="T141" s="288">
        <f t="shared" si="71"/>
        <v>64385.999999999993</v>
      </c>
      <c r="U141" s="288">
        <f t="shared" si="71"/>
        <v>64385.999999999993</v>
      </c>
      <c r="V141" s="288">
        <f t="shared" si="71"/>
        <v>64385.999999999993</v>
      </c>
      <c r="W141" s="288">
        <f t="shared" si="71"/>
        <v>64385.999999999993</v>
      </c>
      <c r="X141" s="288">
        <f t="shared" si="71"/>
        <v>64385.999999999993</v>
      </c>
      <c r="Y141" s="288">
        <f t="shared" si="71"/>
        <v>64385.999999999993</v>
      </c>
      <c r="Z141" s="288">
        <f t="shared" si="71"/>
        <v>64385.999999999993</v>
      </c>
      <c r="AA141" s="288">
        <f t="shared" si="71"/>
        <v>64385.999999999993</v>
      </c>
    </row>
    <row r="142" spans="2:27" x14ac:dyDescent="0.3">
      <c r="B142" s="297" t="s">
        <v>196</v>
      </c>
      <c r="C142" s="297"/>
      <c r="D142" s="297"/>
      <c r="E142" s="297"/>
      <c r="F142" s="297"/>
      <c r="G142" s="298"/>
      <c r="H142" s="298"/>
      <c r="I142" s="298"/>
      <c r="J142" s="298"/>
      <c r="K142" s="298"/>
      <c r="L142" s="298"/>
      <c r="M142" s="298"/>
      <c r="N142" s="298"/>
      <c r="O142" s="298"/>
      <c r="P142" s="298"/>
      <c r="Q142" s="298"/>
      <c r="R142" s="298"/>
      <c r="S142" s="298"/>
      <c r="T142" s="298"/>
      <c r="U142" s="298"/>
      <c r="V142" s="298"/>
      <c r="W142" s="298"/>
      <c r="X142" s="298"/>
      <c r="Y142" s="298"/>
      <c r="Z142" s="298"/>
      <c r="AA142" s="298"/>
    </row>
    <row r="143" spans="2:27" x14ac:dyDescent="0.3">
      <c r="B143" s="299" t="s">
        <v>196</v>
      </c>
      <c r="C143" s="300">
        <v>2030</v>
      </c>
      <c r="D143" s="286">
        <v>276</v>
      </c>
      <c r="E143" s="300">
        <v>0.35</v>
      </c>
      <c r="F143" s="300"/>
      <c r="G143" s="288">
        <f>+IF($C143&lt;=G$52,$D143*8760*$E143,0)</f>
        <v>0</v>
      </c>
      <c r="H143" s="288">
        <f t="shared" si="71"/>
        <v>0</v>
      </c>
      <c r="I143" s="288">
        <f t="shared" si="71"/>
        <v>0</v>
      </c>
      <c r="J143" s="288">
        <f t="shared" si="71"/>
        <v>0</v>
      </c>
      <c r="K143" s="288">
        <f t="shared" si="71"/>
        <v>0</v>
      </c>
      <c r="L143" s="288">
        <f t="shared" si="71"/>
        <v>0</v>
      </c>
      <c r="M143" s="288">
        <f t="shared" si="71"/>
        <v>0</v>
      </c>
      <c r="N143" s="288">
        <f t="shared" si="71"/>
        <v>0</v>
      </c>
      <c r="O143" s="288">
        <f t="shared" si="71"/>
        <v>0</v>
      </c>
      <c r="P143" s="288">
        <f t="shared" si="71"/>
        <v>0</v>
      </c>
      <c r="Q143" s="288">
        <f t="shared" si="71"/>
        <v>0</v>
      </c>
      <c r="R143" s="288">
        <f t="shared" si="71"/>
        <v>0</v>
      </c>
      <c r="S143" s="288">
        <f t="shared" si="71"/>
        <v>0</v>
      </c>
      <c r="T143" s="288">
        <f t="shared" si="71"/>
        <v>0</v>
      </c>
      <c r="U143" s="288">
        <f t="shared" si="71"/>
        <v>0</v>
      </c>
      <c r="V143" s="288">
        <f t="shared" si="71"/>
        <v>0</v>
      </c>
      <c r="W143" s="288">
        <f t="shared" si="71"/>
        <v>0</v>
      </c>
      <c r="X143" s="288">
        <f t="shared" si="71"/>
        <v>0</v>
      </c>
      <c r="Y143" s="288">
        <f t="shared" si="71"/>
        <v>0</v>
      </c>
      <c r="Z143" s="288">
        <f t="shared" si="71"/>
        <v>0</v>
      </c>
      <c r="AA143" s="288">
        <f t="shared" si="71"/>
        <v>846216</v>
      </c>
    </row>
    <row r="144" spans="2:27" x14ac:dyDescent="0.3">
      <c r="B144" s="297" t="s">
        <v>197</v>
      </c>
      <c r="C144" s="297"/>
      <c r="D144" s="297"/>
      <c r="E144" s="297"/>
      <c r="F144" s="297"/>
      <c r="G144" s="298"/>
      <c r="H144" s="298"/>
      <c r="I144" s="298"/>
      <c r="J144" s="298"/>
      <c r="K144" s="298"/>
      <c r="L144" s="298"/>
      <c r="M144" s="298"/>
      <c r="N144" s="298"/>
      <c r="O144" s="298"/>
      <c r="P144" s="298"/>
      <c r="Q144" s="298"/>
      <c r="R144" s="298"/>
      <c r="S144" s="298"/>
      <c r="T144" s="298"/>
      <c r="U144" s="298"/>
      <c r="V144" s="298"/>
      <c r="W144" s="298"/>
      <c r="X144" s="298"/>
      <c r="Y144" s="298"/>
      <c r="Z144" s="298"/>
      <c r="AA144" s="298"/>
    </row>
    <row r="145" spans="2:27" x14ac:dyDescent="0.3">
      <c r="B145" s="299" t="s">
        <v>197</v>
      </c>
      <c r="C145" s="300"/>
      <c r="D145" s="309"/>
      <c r="E145" s="300"/>
      <c r="F145" s="300"/>
      <c r="G145" s="288">
        <f>+IF($C145&lt;=G$52,$D145*8760*$E145,0)</f>
        <v>0</v>
      </c>
      <c r="H145" s="288">
        <f t="shared" si="71"/>
        <v>0</v>
      </c>
      <c r="I145" s="288">
        <f t="shared" si="71"/>
        <v>0</v>
      </c>
      <c r="J145" s="288">
        <f t="shared" si="71"/>
        <v>0</v>
      </c>
      <c r="K145" s="288">
        <f t="shared" si="71"/>
        <v>0</v>
      </c>
      <c r="L145" s="288">
        <f t="shared" si="71"/>
        <v>0</v>
      </c>
      <c r="M145" s="288">
        <f t="shared" si="71"/>
        <v>0</v>
      </c>
      <c r="N145" s="288">
        <f t="shared" si="71"/>
        <v>0</v>
      </c>
      <c r="O145" s="288">
        <f t="shared" si="71"/>
        <v>0</v>
      </c>
      <c r="P145" s="288">
        <f t="shared" si="71"/>
        <v>0</v>
      </c>
      <c r="Q145" s="288">
        <f t="shared" si="71"/>
        <v>0</v>
      </c>
      <c r="R145" s="288">
        <f t="shared" si="71"/>
        <v>0</v>
      </c>
      <c r="S145" s="288">
        <f t="shared" si="71"/>
        <v>0</v>
      </c>
      <c r="T145" s="288">
        <f t="shared" si="71"/>
        <v>0</v>
      </c>
      <c r="U145" s="288">
        <f t="shared" si="71"/>
        <v>0</v>
      </c>
      <c r="V145" s="288">
        <f t="shared" si="71"/>
        <v>0</v>
      </c>
      <c r="W145" s="288">
        <f t="shared" si="71"/>
        <v>0</v>
      </c>
      <c r="X145" s="288">
        <f t="shared" si="71"/>
        <v>0</v>
      </c>
      <c r="Y145" s="288">
        <f t="shared" si="71"/>
        <v>0</v>
      </c>
      <c r="Z145" s="288">
        <f t="shared" si="71"/>
        <v>0</v>
      </c>
      <c r="AA145" s="288">
        <f t="shared" si="71"/>
        <v>0</v>
      </c>
    </row>
    <row r="146" spans="2:27" x14ac:dyDescent="0.3">
      <c r="B146" s="297" t="s">
        <v>198</v>
      </c>
      <c r="C146" s="297"/>
      <c r="D146" s="297"/>
      <c r="E146" s="297"/>
      <c r="F146" s="297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8"/>
      <c r="W146" s="298"/>
      <c r="X146" s="298"/>
      <c r="Y146" s="298"/>
      <c r="Z146" s="298"/>
      <c r="AA146" s="298"/>
    </row>
    <row r="147" spans="2:27" x14ac:dyDescent="0.3">
      <c r="B147" s="299" t="s">
        <v>198</v>
      </c>
      <c r="C147" s="300"/>
      <c r="D147" s="309"/>
      <c r="E147" s="300"/>
      <c r="F147" s="300"/>
      <c r="G147" s="288">
        <f>+IF($C147&lt;=G$52,$D147*8760*$E147,0)</f>
        <v>0</v>
      </c>
      <c r="H147" s="288">
        <f t="shared" si="71"/>
        <v>0</v>
      </c>
      <c r="I147" s="288">
        <f t="shared" si="71"/>
        <v>0</v>
      </c>
      <c r="J147" s="288">
        <f t="shared" si="71"/>
        <v>0</v>
      </c>
      <c r="K147" s="288">
        <f t="shared" si="71"/>
        <v>0</v>
      </c>
      <c r="L147" s="288">
        <f t="shared" si="71"/>
        <v>0</v>
      </c>
      <c r="M147" s="288">
        <f t="shared" si="71"/>
        <v>0</v>
      </c>
      <c r="N147" s="288">
        <f t="shared" si="71"/>
        <v>0</v>
      </c>
      <c r="O147" s="288">
        <f t="shared" si="71"/>
        <v>0</v>
      </c>
      <c r="P147" s="288">
        <f t="shared" si="71"/>
        <v>0</v>
      </c>
      <c r="Q147" s="288">
        <f t="shared" si="71"/>
        <v>0</v>
      </c>
      <c r="R147" s="288">
        <f t="shared" si="71"/>
        <v>0</v>
      </c>
      <c r="S147" s="288">
        <f t="shared" si="71"/>
        <v>0</v>
      </c>
      <c r="T147" s="288">
        <f t="shared" si="71"/>
        <v>0</v>
      </c>
      <c r="U147" s="288">
        <f t="shared" si="71"/>
        <v>0</v>
      </c>
      <c r="V147" s="288">
        <f t="shared" si="71"/>
        <v>0</v>
      </c>
      <c r="W147" s="288">
        <f t="shared" si="71"/>
        <v>0</v>
      </c>
      <c r="X147" s="288">
        <f t="shared" si="71"/>
        <v>0</v>
      </c>
      <c r="Y147" s="288">
        <f t="shared" si="71"/>
        <v>0</v>
      </c>
      <c r="Z147" s="288">
        <f t="shared" si="71"/>
        <v>0</v>
      </c>
      <c r="AA147" s="288">
        <f t="shared" si="71"/>
        <v>0</v>
      </c>
    </row>
    <row r="148" spans="2:27" x14ac:dyDescent="0.3">
      <c r="B148" s="219"/>
      <c r="C148" s="219"/>
      <c r="D148" s="219"/>
      <c r="E148" s="219"/>
      <c r="F148" s="219"/>
      <c r="G148" s="268"/>
      <c r="H148" s="268"/>
      <c r="I148" s="268"/>
      <c r="J148" s="268"/>
      <c r="K148" s="268"/>
      <c r="L148" s="268"/>
      <c r="M148" s="268"/>
      <c r="N148" s="268"/>
      <c r="O148" s="268"/>
      <c r="P148" s="268"/>
      <c r="Q148" s="268"/>
      <c r="R148" s="268"/>
      <c r="S148" s="268"/>
      <c r="T148" s="268"/>
      <c r="U148" s="268"/>
      <c r="V148" s="268"/>
      <c r="W148" s="268"/>
      <c r="X148" s="268"/>
      <c r="Y148" s="268"/>
      <c r="Z148" s="268"/>
      <c r="AA148" s="268"/>
    </row>
    <row r="149" spans="2:27" x14ac:dyDescent="0.3">
      <c r="B149" s="243"/>
      <c r="C149" s="211"/>
      <c r="D149" s="211"/>
      <c r="E149" s="211"/>
      <c r="F149" s="244"/>
      <c r="G149" s="212">
        <v>2010</v>
      </c>
      <c r="H149" s="212">
        <v>2011</v>
      </c>
      <c r="I149" s="212">
        <v>2012</v>
      </c>
      <c r="J149" s="212">
        <v>2013</v>
      </c>
      <c r="K149" s="212">
        <v>2014</v>
      </c>
      <c r="L149" s="212">
        <v>2015</v>
      </c>
      <c r="M149" s="212">
        <v>2016</v>
      </c>
      <c r="N149" s="212">
        <v>2017</v>
      </c>
      <c r="O149" s="212">
        <v>2018</v>
      </c>
      <c r="P149" s="212">
        <v>2019</v>
      </c>
      <c r="Q149" s="212">
        <v>2020</v>
      </c>
      <c r="R149" s="212">
        <v>2021</v>
      </c>
      <c r="S149" s="212">
        <v>2022</v>
      </c>
      <c r="T149" s="212">
        <v>2023</v>
      </c>
      <c r="U149" s="212">
        <v>2024</v>
      </c>
      <c r="V149" s="212">
        <v>2025</v>
      </c>
      <c r="W149" s="212">
        <v>2026</v>
      </c>
      <c r="X149" s="212">
        <v>2027</v>
      </c>
      <c r="Y149" s="212">
        <v>2028</v>
      </c>
      <c r="Z149" s="212">
        <v>2029</v>
      </c>
      <c r="AA149" s="212">
        <v>2030</v>
      </c>
    </row>
    <row r="150" spans="2:27" ht="28.8" x14ac:dyDescent="0.3">
      <c r="B150" s="291" t="s">
        <v>164</v>
      </c>
      <c r="C150" s="292" t="s">
        <v>139</v>
      </c>
      <c r="D150" s="274" t="s">
        <v>140</v>
      </c>
      <c r="E150" s="293" t="s">
        <v>141</v>
      </c>
      <c r="F150" s="293"/>
      <c r="G150" s="294" t="s">
        <v>143</v>
      </c>
      <c r="H150" s="294" t="s">
        <v>143</v>
      </c>
      <c r="I150" s="294" t="s">
        <v>143</v>
      </c>
      <c r="J150" s="294" t="s">
        <v>143</v>
      </c>
      <c r="K150" s="294" t="s">
        <v>143</v>
      </c>
      <c r="L150" s="294" t="s">
        <v>143</v>
      </c>
      <c r="M150" s="294" t="s">
        <v>143</v>
      </c>
      <c r="N150" s="294" t="s">
        <v>143</v>
      </c>
      <c r="O150" s="294" t="s">
        <v>143</v>
      </c>
      <c r="P150" s="294" t="s">
        <v>143</v>
      </c>
      <c r="Q150" s="294" t="s">
        <v>143</v>
      </c>
      <c r="R150" s="294" t="s">
        <v>143</v>
      </c>
      <c r="S150" s="294" t="s">
        <v>143</v>
      </c>
      <c r="T150" s="294" t="s">
        <v>143</v>
      </c>
      <c r="U150" s="294" t="s">
        <v>143</v>
      </c>
      <c r="V150" s="294" t="s">
        <v>143</v>
      </c>
      <c r="W150" s="294" t="s">
        <v>143</v>
      </c>
      <c r="X150" s="294" t="s">
        <v>143</v>
      </c>
      <c r="Y150" s="294" t="s">
        <v>143</v>
      </c>
      <c r="Z150" s="294" t="s">
        <v>143</v>
      </c>
      <c r="AA150" s="294" t="s">
        <v>143</v>
      </c>
    </row>
    <row r="151" spans="2:27" x14ac:dyDescent="0.3">
      <c r="B151" s="305" t="s">
        <v>199</v>
      </c>
      <c r="C151" s="306"/>
      <c r="D151" s="306"/>
      <c r="E151" s="306"/>
      <c r="F151" s="306"/>
      <c r="G151" s="307">
        <f>+SUM(G152:G165)</f>
        <v>0</v>
      </c>
      <c r="H151" s="307">
        <f t="shared" ref="H151:N151" si="72">+SUM(H152:H156)</f>
        <v>0</v>
      </c>
      <c r="I151" s="307">
        <f t="shared" si="72"/>
        <v>0</v>
      </c>
      <c r="J151" s="307">
        <f t="shared" si="72"/>
        <v>0</v>
      </c>
      <c r="K151" s="307">
        <f t="shared" si="72"/>
        <v>0</v>
      </c>
      <c r="L151" s="307">
        <f t="shared" si="72"/>
        <v>0</v>
      </c>
      <c r="M151" s="307">
        <f t="shared" si="72"/>
        <v>0</v>
      </c>
      <c r="N151" s="307">
        <f t="shared" si="72"/>
        <v>0</v>
      </c>
      <c r="O151" s="307">
        <f>+SUM(O152:O165)</f>
        <v>136656</v>
      </c>
      <c r="P151" s="307">
        <f t="shared" ref="P151:Z151" si="73">+SUM(P152:P165)</f>
        <v>346896</v>
      </c>
      <c r="Q151" s="307">
        <f t="shared" si="73"/>
        <v>357408</v>
      </c>
      <c r="R151" s="307">
        <f t="shared" si="73"/>
        <v>357408</v>
      </c>
      <c r="S151" s="307">
        <f t="shared" si="73"/>
        <v>357408</v>
      </c>
      <c r="T151" s="307">
        <f t="shared" si="73"/>
        <v>357408</v>
      </c>
      <c r="U151" s="307">
        <f t="shared" si="73"/>
        <v>357408</v>
      </c>
      <c r="V151" s="307">
        <f t="shared" si="73"/>
        <v>357408</v>
      </c>
      <c r="W151" s="307">
        <f>+SUM(W152:W165)</f>
        <v>357408</v>
      </c>
      <c r="X151" s="307">
        <f t="shared" si="73"/>
        <v>357408</v>
      </c>
      <c r="Y151" s="307">
        <f t="shared" si="73"/>
        <v>357408</v>
      </c>
      <c r="Z151" s="307">
        <f t="shared" si="73"/>
        <v>357408</v>
      </c>
      <c r="AA151" s="307">
        <f>+SUM(AA152:AA165)</f>
        <v>777888</v>
      </c>
    </row>
    <row r="152" spans="2:27" x14ac:dyDescent="0.3">
      <c r="B152" s="297" t="s">
        <v>200</v>
      </c>
      <c r="C152" s="297"/>
      <c r="D152" s="297"/>
      <c r="E152" s="297"/>
      <c r="F152" s="297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8"/>
      <c r="W152" s="298"/>
      <c r="X152" s="298"/>
      <c r="Y152" s="298"/>
      <c r="Z152" s="298"/>
      <c r="AA152" s="298"/>
    </row>
    <row r="153" spans="2:27" x14ac:dyDescent="0.3">
      <c r="B153" s="299" t="s">
        <v>201</v>
      </c>
      <c r="C153" s="300">
        <v>2019</v>
      </c>
      <c r="D153" s="286">
        <v>50</v>
      </c>
      <c r="E153" s="300">
        <v>0.24</v>
      </c>
      <c r="F153" s="300"/>
      <c r="G153" s="288">
        <f>+IF($C153&lt;=G$52,$D153*8760*$E153,0)</f>
        <v>0</v>
      </c>
      <c r="H153" s="288">
        <f t="shared" ref="H153:Z153" si="74">+IF($C153&lt;=H$52,$D153*8760*$E153,0)</f>
        <v>0</v>
      </c>
      <c r="I153" s="288">
        <f t="shared" si="74"/>
        <v>0</v>
      </c>
      <c r="J153" s="288">
        <f t="shared" si="74"/>
        <v>0</v>
      </c>
      <c r="K153" s="288">
        <f t="shared" si="74"/>
        <v>0</v>
      </c>
      <c r="L153" s="288">
        <f t="shared" si="74"/>
        <v>0</v>
      </c>
      <c r="M153" s="288">
        <f t="shared" si="74"/>
        <v>0</v>
      </c>
      <c r="N153" s="288">
        <f t="shared" si="74"/>
        <v>0</v>
      </c>
      <c r="O153" s="288">
        <f t="shared" si="74"/>
        <v>0</v>
      </c>
      <c r="P153" s="288">
        <f t="shared" si="74"/>
        <v>105120</v>
      </c>
      <c r="Q153" s="288">
        <f t="shared" si="74"/>
        <v>105120</v>
      </c>
      <c r="R153" s="288">
        <f t="shared" si="74"/>
        <v>105120</v>
      </c>
      <c r="S153" s="288">
        <f t="shared" si="74"/>
        <v>105120</v>
      </c>
      <c r="T153" s="288">
        <f t="shared" si="74"/>
        <v>105120</v>
      </c>
      <c r="U153" s="288">
        <f t="shared" si="74"/>
        <v>105120</v>
      </c>
      <c r="V153" s="288">
        <f t="shared" si="74"/>
        <v>105120</v>
      </c>
      <c r="W153" s="288">
        <f t="shared" si="74"/>
        <v>105120</v>
      </c>
      <c r="X153" s="288">
        <f t="shared" si="74"/>
        <v>105120</v>
      </c>
      <c r="Y153" s="288">
        <f t="shared" si="74"/>
        <v>105120</v>
      </c>
      <c r="Z153" s="288">
        <f t="shared" si="74"/>
        <v>105120</v>
      </c>
      <c r="AA153" s="288">
        <f>+IF($C153&lt;=AA$52,$D153*8760*$E153,0)</f>
        <v>105120</v>
      </c>
    </row>
    <row r="154" spans="2:27" x14ac:dyDescent="0.3">
      <c r="B154" s="297" t="s">
        <v>200</v>
      </c>
      <c r="C154" s="297"/>
      <c r="D154" s="301"/>
      <c r="E154" s="297"/>
      <c r="F154" s="297"/>
      <c r="G154" s="298"/>
      <c r="H154" s="298"/>
      <c r="I154" s="298"/>
      <c r="J154" s="298"/>
      <c r="K154" s="298"/>
      <c r="L154" s="298"/>
      <c r="M154" s="298"/>
      <c r="N154" s="298"/>
      <c r="O154" s="298"/>
      <c r="P154" s="298"/>
      <c r="Q154" s="298"/>
      <c r="R154" s="298"/>
      <c r="S154" s="298"/>
      <c r="T154" s="298"/>
      <c r="U154" s="298"/>
      <c r="V154" s="298"/>
      <c r="W154" s="298"/>
      <c r="X154" s="298"/>
      <c r="Y154" s="298"/>
      <c r="Z154" s="298"/>
      <c r="AA154" s="298"/>
    </row>
    <row r="155" spans="2:27" x14ac:dyDescent="0.3">
      <c r="B155" s="299" t="s">
        <v>201</v>
      </c>
      <c r="C155" s="300">
        <v>2019</v>
      </c>
      <c r="D155" s="286">
        <v>50</v>
      </c>
      <c r="E155" s="300">
        <v>0.24</v>
      </c>
      <c r="F155" s="300"/>
      <c r="G155" s="288">
        <f>+IF($C155&lt;=G$52,$D155*8760*$E155,0)</f>
        <v>0</v>
      </c>
      <c r="H155" s="288">
        <f t="shared" ref="H155:Z155" si="75">+IF($C155&lt;=H$52,$D155*8760*$E155,0)</f>
        <v>0</v>
      </c>
      <c r="I155" s="288">
        <f t="shared" si="75"/>
        <v>0</v>
      </c>
      <c r="J155" s="288">
        <f t="shared" si="75"/>
        <v>0</v>
      </c>
      <c r="K155" s="288">
        <f t="shared" si="75"/>
        <v>0</v>
      </c>
      <c r="L155" s="288">
        <f t="shared" si="75"/>
        <v>0</v>
      </c>
      <c r="M155" s="288">
        <f t="shared" si="75"/>
        <v>0</v>
      </c>
      <c r="N155" s="288">
        <f t="shared" si="75"/>
        <v>0</v>
      </c>
      <c r="O155" s="288">
        <f t="shared" si="75"/>
        <v>0</v>
      </c>
      <c r="P155" s="288">
        <f t="shared" si="75"/>
        <v>105120</v>
      </c>
      <c r="Q155" s="288">
        <f t="shared" si="75"/>
        <v>105120</v>
      </c>
      <c r="R155" s="288">
        <f t="shared" si="75"/>
        <v>105120</v>
      </c>
      <c r="S155" s="288">
        <f t="shared" si="75"/>
        <v>105120</v>
      </c>
      <c r="T155" s="288">
        <f t="shared" si="75"/>
        <v>105120</v>
      </c>
      <c r="U155" s="288">
        <f t="shared" si="75"/>
        <v>105120</v>
      </c>
      <c r="V155" s="288">
        <f t="shared" si="75"/>
        <v>105120</v>
      </c>
      <c r="W155" s="288">
        <f t="shared" si="75"/>
        <v>105120</v>
      </c>
      <c r="X155" s="288">
        <f t="shared" si="75"/>
        <v>105120</v>
      </c>
      <c r="Y155" s="288">
        <f t="shared" si="75"/>
        <v>105120</v>
      </c>
      <c r="Z155" s="288">
        <f t="shared" si="75"/>
        <v>105120</v>
      </c>
      <c r="AA155" s="288">
        <f>+IF($C155&lt;=AA$52,$D155*8760*$E155,0)</f>
        <v>105120</v>
      </c>
    </row>
    <row r="156" spans="2:27" x14ac:dyDescent="0.3">
      <c r="B156" s="297" t="s">
        <v>202</v>
      </c>
      <c r="C156" s="297"/>
      <c r="D156" s="297"/>
      <c r="E156" s="297"/>
      <c r="F156" s="297"/>
      <c r="G156" s="298"/>
      <c r="H156" s="298"/>
      <c r="I156" s="298"/>
      <c r="J156" s="298"/>
      <c r="K156" s="298"/>
      <c r="L156" s="298"/>
      <c r="M156" s="298"/>
      <c r="N156" s="298"/>
      <c r="O156" s="298"/>
      <c r="P156" s="298"/>
      <c r="Q156" s="298"/>
      <c r="R156" s="298"/>
      <c r="S156" s="298"/>
      <c r="T156" s="298"/>
      <c r="U156" s="298"/>
      <c r="V156" s="298"/>
      <c r="W156" s="298"/>
      <c r="X156" s="298"/>
      <c r="Y156" s="298"/>
      <c r="Z156" s="298"/>
      <c r="AA156" s="298"/>
    </row>
    <row r="157" spans="2:27" x14ac:dyDescent="0.3">
      <c r="B157" s="299" t="s">
        <v>202</v>
      </c>
      <c r="C157" s="285">
        <v>2018</v>
      </c>
      <c r="D157" s="286">
        <v>60</v>
      </c>
      <c r="E157" s="300">
        <v>0.24</v>
      </c>
      <c r="F157" s="300"/>
      <c r="G157" s="288">
        <f>+IF($C157&lt;=G$52,$D157*8760*$E157,0)</f>
        <v>0</v>
      </c>
      <c r="H157" s="288">
        <f t="shared" ref="H157:Z157" si="76">+IF($C157&lt;=H$52,$D157*8760*$E157,0)</f>
        <v>0</v>
      </c>
      <c r="I157" s="288">
        <f t="shared" si="76"/>
        <v>0</v>
      </c>
      <c r="J157" s="288">
        <f t="shared" si="76"/>
        <v>0</v>
      </c>
      <c r="K157" s="288">
        <f t="shared" si="76"/>
        <v>0</v>
      </c>
      <c r="L157" s="288">
        <f t="shared" si="76"/>
        <v>0</v>
      </c>
      <c r="M157" s="288">
        <f t="shared" si="76"/>
        <v>0</v>
      </c>
      <c r="N157" s="288">
        <f t="shared" si="76"/>
        <v>0</v>
      </c>
      <c r="O157" s="288">
        <f t="shared" si="76"/>
        <v>126144</v>
      </c>
      <c r="P157" s="288">
        <f t="shared" si="76"/>
        <v>126144</v>
      </c>
      <c r="Q157" s="288">
        <f t="shared" si="76"/>
        <v>126144</v>
      </c>
      <c r="R157" s="288">
        <f t="shared" si="76"/>
        <v>126144</v>
      </c>
      <c r="S157" s="288">
        <f t="shared" si="76"/>
        <v>126144</v>
      </c>
      <c r="T157" s="288">
        <f t="shared" si="76"/>
        <v>126144</v>
      </c>
      <c r="U157" s="288">
        <f t="shared" si="76"/>
        <v>126144</v>
      </c>
      <c r="V157" s="288">
        <f t="shared" si="76"/>
        <v>126144</v>
      </c>
      <c r="W157" s="288">
        <f t="shared" si="76"/>
        <v>126144</v>
      </c>
      <c r="X157" s="288">
        <f t="shared" si="76"/>
        <v>126144</v>
      </c>
      <c r="Y157" s="288">
        <f t="shared" si="76"/>
        <v>126144</v>
      </c>
      <c r="Z157" s="288">
        <f t="shared" si="76"/>
        <v>126144</v>
      </c>
      <c r="AA157" s="288">
        <f>+IF($C157&lt;=AA$52,$D157*8760*$E157,0)</f>
        <v>126144</v>
      </c>
    </row>
    <row r="158" spans="2:27" x14ac:dyDescent="0.3">
      <c r="B158" s="297" t="s">
        <v>203</v>
      </c>
      <c r="C158" s="297"/>
      <c r="D158" s="297"/>
      <c r="E158" s="297"/>
      <c r="F158" s="297"/>
      <c r="G158" s="298"/>
      <c r="H158" s="298"/>
      <c r="I158" s="298"/>
      <c r="J158" s="298"/>
      <c r="K158" s="298"/>
      <c r="L158" s="298"/>
      <c r="M158" s="298"/>
      <c r="N158" s="298"/>
      <c r="O158" s="298"/>
      <c r="P158" s="298"/>
      <c r="Q158" s="298"/>
      <c r="R158" s="298"/>
      <c r="S158" s="298"/>
      <c r="T158" s="298"/>
      <c r="U158" s="298"/>
      <c r="V158" s="298"/>
      <c r="W158" s="298"/>
      <c r="X158" s="298"/>
      <c r="Y158" s="298"/>
      <c r="Z158" s="298"/>
      <c r="AA158" s="298"/>
    </row>
    <row r="159" spans="2:27" x14ac:dyDescent="0.3">
      <c r="B159" s="299" t="s">
        <v>203</v>
      </c>
      <c r="C159" s="285">
        <v>2018</v>
      </c>
      <c r="D159" s="286">
        <v>5</v>
      </c>
      <c r="E159" s="300">
        <v>0.24</v>
      </c>
      <c r="F159" s="300"/>
      <c r="G159" s="288">
        <f>+IF($C159&lt;=G$52,$D159*8760*$E159,0)</f>
        <v>0</v>
      </c>
      <c r="H159" s="288">
        <f t="shared" ref="H159:Z159" si="77">+IF($C159&lt;=H$52,$D159*8760*$E159,0)</f>
        <v>0</v>
      </c>
      <c r="I159" s="288">
        <f t="shared" si="77"/>
        <v>0</v>
      </c>
      <c r="J159" s="288">
        <f t="shared" si="77"/>
        <v>0</v>
      </c>
      <c r="K159" s="288">
        <f t="shared" si="77"/>
        <v>0</v>
      </c>
      <c r="L159" s="288">
        <f t="shared" si="77"/>
        <v>0</v>
      </c>
      <c r="M159" s="288">
        <f t="shared" si="77"/>
        <v>0</v>
      </c>
      <c r="N159" s="288">
        <f t="shared" si="77"/>
        <v>0</v>
      </c>
      <c r="O159" s="288">
        <f t="shared" si="77"/>
        <v>10512</v>
      </c>
      <c r="P159" s="288">
        <f t="shared" si="77"/>
        <v>10512</v>
      </c>
      <c r="Q159" s="288">
        <f t="shared" si="77"/>
        <v>10512</v>
      </c>
      <c r="R159" s="288">
        <f t="shared" si="77"/>
        <v>10512</v>
      </c>
      <c r="S159" s="288">
        <f t="shared" si="77"/>
        <v>10512</v>
      </c>
      <c r="T159" s="288">
        <f t="shared" si="77"/>
        <v>10512</v>
      </c>
      <c r="U159" s="288">
        <f t="shared" si="77"/>
        <v>10512</v>
      </c>
      <c r="V159" s="288">
        <f t="shared" si="77"/>
        <v>10512</v>
      </c>
      <c r="W159" s="288">
        <f t="shared" si="77"/>
        <v>10512</v>
      </c>
      <c r="X159" s="288">
        <f t="shared" si="77"/>
        <v>10512</v>
      </c>
      <c r="Y159" s="288">
        <f t="shared" si="77"/>
        <v>10512</v>
      </c>
      <c r="Z159" s="288">
        <f t="shared" si="77"/>
        <v>10512</v>
      </c>
      <c r="AA159" s="288">
        <f>+IF($C159&lt;=AA$52,$D159*8760*$E159,0)</f>
        <v>10512</v>
      </c>
    </row>
    <row r="160" spans="2:27" x14ac:dyDescent="0.3">
      <c r="B160" s="297" t="s">
        <v>204</v>
      </c>
      <c r="C160" s="297"/>
      <c r="D160" s="297"/>
      <c r="E160" s="297"/>
      <c r="F160" s="297"/>
      <c r="G160" s="298"/>
      <c r="H160" s="298"/>
      <c r="I160" s="298"/>
      <c r="J160" s="298"/>
      <c r="K160" s="298"/>
      <c r="L160" s="298"/>
      <c r="M160" s="298"/>
      <c r="N160" s="298"/>
      <c r="O160" s="298"/>
      <c r="P160" s="298"/>
      <c r="Q160" s="298"/>
      <c r="R160" s="298"/>
      <c r="S160" s="298"/>
      <c r="T160" s="298"/>
      <c r="U160" s="298"/>
      <c r="V160" s="298"/>
      <c r="W160" s="298"/>
      <c r="X160" s="298"/>
      <c r="Y160" s="298"/>
      <c r="Z160" s="298"/>
      <c r="AA160" s="298"/>
    </row>
    <row r="161" spans="2:27" x14ac:dyDescent="0.3">
      <c r="B161" s="299" t="str">
        <f>B160</f>
        <v>Riberalta - Guayamerin</v>
      </c>
      <c r="C161" s="285">
        <v>2020</v>
      </c>
      <c r="D161" s="286">
        <v>5</v>
      </c>
      <c r="E161" s="300">
        <v>0.24</v>
      </c>
      <c r="F161" s="300"/>
      <c r="G161" s="288">
        <f>+IF($C161&lt;=G$52,$D161*8760*$E161,0)</f>
        <v>0</v>
      </c>
      <c r="H161" s="288">
        <f t="shared" ref="H161:Z161" si="78">+IF($C161&lt;=H$52,$D161*8760*$E161,0)</f>
        <v>0</v>
      </c>
      <c r="I161" s="288">
        <f t="shared" si="78"/>
        <v>0</v>
      </c>
      <c r="J161" s="288">
        <f t="shared" si="78"/>
        <v>0</v>
      </c>
      <c r="K161" s="288">
        <f t="shared" si="78"/>
        <v>0</v>
      </c>
      <c r="L161" s="288">
        <f t="shared" si="78"/>
        <v>0</v>
      </c>
      <c r="M161" s="288">
        <f t="shared" si="78"/>
        <v>0</v>
      </c>
      <c r="N161" s="288">
        <f t="shared" si="78"/>
        <v>0</v>
      </c>
      <c r="O161" s="288">
        <f t="shared" si="78"/>
        <v>0</v>
      </c>
      <c r="P161" s="288">
        <f t="shared" si="78"/>
        <v>0</v>
      </c>
      <c r="Q161" s="288">
        <f t="shared" si="78"/>
        <v>10512</v>
      </c>
      <c r="R161" s="288">
        <f t="shared" si="78"/>
        <v>10512</v>
      </c>
      <c r="S161" s="288">
        <f t="shared" si="78"/>
        <v>10512</v>
      </c>
      <c r="T161" s="288">
        <f t="shared" si="78"/>
        <v>10512</v>
      </c>
      <c r="U161" s="288">
        <f t="shared" si="78"/>
        <v>10512</v>
      </c>
      <c r="V161" s="288">
        <f t="shared" si="78"/>
        <v>10512</v>
      </c>
      <c r="W161" s="288">
        <f t="shared" si="78"/>
        <v>10512</v>
      </c>
      <c r="X161" s="288">
        <f t="shared" si="78"/>
        <v>10512</v>
      </c>
      <c r="Y161" s="288">
        <f t="shared" si="78"/>
        <v>10512</v>
      </c>
      <c r="Z161" s="288">
        <f t="shared" si="78"/>
        <v>10512</v>
      </c>
      <c r="AA161" s="288">
        <f>+IF($C161&lt;=AA$52,$D161*8760*$E161,0)</f>
        <v>10512</v>
      </c>
    </row>
    <row r="162" spans="2:27" x14ac:dyDescent="0.3">
      <c r="B162" s="297" t="s">
        <v>205</v>
      </c>
      <c r="C162" s="297"/>
      <c r="D162" s="297"/>
      <c r="E162" s="297"/>
      <c r="F162" s="297"/>
      <c r="G162" s="298"/>
      <c r="H162" s="298"/>
      <c r="I162" s="298"/>
      <c r="J162" s="298"/>
      <c r="K162" s="298"/>
      <c r="L162" s="298"/>
      <c r="M162" s="298"/>
      <c r="N162" s="298"/>
      <c r="O162" s="298"/>
      <c r="P162" s="298"/>
      <c r="Q162" s="298"/>
      <c r="R162" s="298"/>
      <c r="S162" s="298"/>
      <c r="T162" s="298"/>
      <c r="U162" s="298"/>
      <c r="V162" s="298"/>
      <c r="W162" s="298"/>
      <c r="X162" s="298"/>
      <c r="Y162" s="298"/>
      <c r="Z162" s="298"/>
      <c r="AA162" s="298"/>
    </row>
    <row r="163" spans="2:27" x14ac:dyDescent="0.3">
      <c r="B163" s="299" t="str">
        <f>+B162</f>
        <v>Solar A</v>
      </c>
      <c r="C163" s="300">
        <v>2030</v>
      </c>
      <c r="D163" s="286">
        <v>200</v>
      </c>
      <c r="E163" s="300">
        <v>0.24</v>
      </c>
      <c r="F163" s="300"/>
      <c r="G163" s="288">
        <f>+IF($C163&lt;=G$52,$D163*8760*$E163,0)</f>
        <v>0</v>
      </c>
      <c r="H163" s="288">
        <f t="shared" ref="H163:Z165" si="79">+IF($C163&lt;=H$52,$D163*8760*$E163,0)</f>
        <v>0</v>
      </c>
      <c r="I163" s="288">
        <f t="shared" si="79"/>
        <v>0</v>
      </c>
      <c r="J163" s="288">
        <f t="shared" si="79"/>
        <v>0</v>
      </c>
      <c r="K163" s="288">
        <f t="shared" si="79"/>
        <v>0</v>
      </c>
      <c r="L163" s="288">
        <f t="shared" si="79"/>
        <v>0</v>
      </c>
      <c r="M163" s="288">
        <f t="shared" si="79"/>
        <v>0</v>
      </c>
      <c r="N163" s="288">
        <f t="shared" si="79"/>
        <v>0</v>
      </c>
      <c r="O163" s="288">
        <f t="shared" si="79"/>
        <v>0</v>
      </c>
      <c r="P163" s="288">
        <f t="shared" si="79"/>
        <v>0</v>
      </c>
      <c r="Q163" s="288">
        <f t="shared" si="79"/>
        <v>0</v>
      </c>
      <c r="R163" s="288">
        <f t="shared" si="79"/>
        <v>0</v>
      </c>
      <c r="S163" s="288">
        <f t="shared" si="79"/>
        <v>0</v>
      </c>
      <c r="T163" s="288">
        <f t="shared" si="79"/>
        <v>0</v>
      </c>
      <c r="U163" s="288">
        <f t="shared" si="79"/>
        <v>0</v>
      </c>
      <c r="V163" s="288">
        <f t="shared" si="79"/>
        <v>0</v>
      </c>
      <c r="W163" s="288">
        <f t="shared" si="79"/>
        <v>0</v>
      </c>
      <c r="X163" s="288">
        <f t="shared" si="79"/>
        <v>0</v>
      </c>
      <c r="Y163" s="288">
        <f t="shared" si="79"/>
        <v>0</v>
      </c>
      <c r="Z163" s="288">
        <f t="shared" si="79"/>
        <v>0</v>
      </c>
      <c r="AA163" s="288">
        <f>+IF($C163&lt;=AA$52,$D163*8760*$E163,0)</f>
        <v>420480</v>
      </c>
    </row>
    <row r="164" spans="2:27" x14ac:dyDescent="0.3">
      <c r="B164" s="297" t="s">
        <v>206</v>
      </c>
      <c r="C164" s="297"/>
      <c r="D164" s="297"/>
      <c r="E164" s="297"/>
      <c r="F164" s="297"/>
      <c r="G164" s="298"/>
      <c r="H164" s="298"/>
      <c r="I164" s="298"/>
      <c r="J164" s="298"/>
      <c r="K164" s="298"/>
      <c r="L164" s="298"/>
      <c r="M164" s="298"/>
      <c r="N164" s="298"/>
      <c r="O164" s="298"/>
      <c r="P164" s="298"/>
      <c r="Q164" s="298"/>
      <c r="R164" s="298"/>
      <c r="S164" s="298"/>
      <c r="T164" s="298"/>
      <c r="U164" s="298"/>
      <c r="V164" s="298"/>
      <c r="W164" s="298"/>
      <c r="X164" s="298"/>
      <c r="Y164" s="298"/>
      <c r="Z164" s="298"/>
      <c r="AA164" s="298"/>
    </row>
    <row r="165" spans="2:27" x14ac:dyDescent="0.3">
      <c r="B165" s="299" t="str">
        <f>B164</f>
        <v>Solar B</v>
      </c>
      <c r="C165" s="300"/>
      <c r="D165" s="309"/>
      <c r="E165" s="300"/>
      <c r="F165" s="300"/>
      <c r="G165" s="288">
        <f>+IF($C165&lt;=G$52,$D165*8760*$E165,0)</f>
        <v>0</v>
      </c>
      <c r="H165" s="288">
        <f t="shared" si="79"/>
        <v>0</v>
      </c>
      <c r="I165" s="288">
        <f t="shared" si="79"/>
        <v>0</v>
      </c>
      <c r="J165" s="288">
        <f t="shared" si="79"/>
        <v>0</v>
      </c>
      <c r="K165" s="288">
        <f t="shared" si="79"/>
        <v>0</v>
      </c>
      <c r="L165" s="288">
        <f t="shared" si="79"/>
        <v>0</v>
      </c>
      <c r="M165" s="288">
        <f t="shared" si="79"/>
        <v>0</v>
      </c>
      <c r="N165" s="288">
        <f t="shared" si="79"/>
        <v>0</v>
      </c>
      <c r="O165" s="288">
        <f t="shared" si="79"/>
        <v>0</v>
      </c>
      <c r="P165" s="288">
        <f t="shared" si="79"/>
        <v>0</v>
      </c>
      <c r="Q165" s="288">
        <f t="shared" si="79"/>
        <v>0</v>
      </c>
      <c r="R165" s="288">
        <f t="shared" si="79"/>
        <v>0</v>
      </c>
      <c r="S165" s="288">
        <f t="shared" si="79"/>
        <v>0</v>
      </c>
      <c r="T165" s="288">
        <f t="shared" si="79"/>
        <v>0</v>
      </c>
      <c r="U165" s="288">
        <f t="shared" si="79"/>
        <v>0</v>
      </c>
      <c r="V165" s="288">
        <f t="shared" si="79"/>
        <v>0</v>
      </c>
      <c r="W165" s="288">
        <f t="shared" si="79"/>
        <v>0</v>
      </c>
      <c r="X165" s="288">
        <f t="shared" si="79"/>
        <v>0</v>
      </c>
      <c r="Y165" s="288">
        <f t="shared" si="79"/>
        <v>0</v>
      </c>
      <c r="Z165" s="288">
        <f t="shared" si="79"/>
        <v>0</v>
      </c>
      <c r="AA165" s="288">
        <f>+IF($C165&lt;=AA$52,$D165*8760*$E165,0)</f>
        <v>0</v>
      </c>
    </row>
    <row r="166" spans="2:27" x14ac:dyDescent="0.3">
      <c r="B166" s="219"/>
      <c r="C166" s="219"/>
      <c r="D166" s="219"/>
      <c r="E166" s="219"/>
      <c r="F166" s="219"/>
      <c r="G166" s="268"/>
      <c r="H166" s="268"/>
      <c r="I166" s="268"/>
      <c r="J166" s="268"/>
      <c r="K166" s="268"/>
      <c r="L166" s="268"/>
      <c r="M166" s="268"/>
      <c r="N166" s="268"/>
      <c r="O166" s="268"/>
      <c r="P166" s="268"/>
      <c r="Q166" s="268"/>
      <c r="R166" s="268"/>
      <c r="S166" s="268"/>
      <c r="T166" s="268"/>
      <c r="U166" s="268"/>
      <c r="V166" s="268"/>
      <c r="W166" s="268"/>
      <c r="X166" s="268"/>
      <c r="Y166" s="268"/>
      <c r="Z166" s="268"/>
      <c r="AA166" s="268"/>
    </row>
    <row r="167" spans="2:27" x14ac:dyDescent="0.3">
      <c r="B167" s="243"/>
      <c r="C167" s="211"/>
      <c r="D167" s="211"/>
      <c r="E167" s="211"/>
      <c r="F167" s="244"/>
      <c r="G167" s="212">
        <v>2010</v>
      </c>
      <c r="H167" s="212">
        <v>2011</v>
      </c>
      <c r="I167" s="212">
        <v>2012</v>
      </c>
      <c r="J167" s="212">
        <v>2013</v>
      </c>
      <c r="K167" s="212">
        <v>2014</v>
      </c>
      <c r="L167" s="212">
        <v>2015</v>
      </c>
      <c r="M167" s="212">
        <v>2016</v>
      </c>
      <c r="N167" s="212">
        <v>2017</v>
      </c>
      <c r="O167" s="212">
        <v>2018</v>
      </c>
      <c r="P167" s="212">
        <v>2019</v>
      </c>
      <c r="Q167" s="212">
        <v>2020</v>
      </c>
      <c r="R167" s="212">
        <v>2021</v>
      </c>
      <c r="S167" s="212">
        <v>2022</v>
      </c>
      <c r="T167" s="212">
        <v>2023</v>
      </c>
      <c r="U167" s="212">
        <v>2024</v>
      </c>
      <c r="V167" s="212">
        <v>2025</v>
      </c>
      <c r="W167" s="212">
        <v>2026</v>
      </c>
      <c r="X167" s="212">
        <v>2027</v>
      </c>
      <c r="Y167" s="212">
        <v>2028</v>
      </c>
      <c r="Z167" s="212">
        <v>2029</v>
      </c>
      <c r="AA167" s="212">
        <v>2030</v>
      </c>
    </row>
    <row r="168" spans="2:27" ht="28.8" x14ac:dyDescent="0.3">
      <c r="B168" s="291" t="s">
        <v>164</v>
      </c>
      <c r="C168" s="292" t="s">
        <v>139</v>
      </c>
      <c r="D168" s="274" t="s">
        <v>140</v>
      </c>
      <c r="E168" s="293" t="s">
        <v>141</v>
      </c>
      <c r="F168" s="293"/>
      <c r="G168" s="294" t="s">
        <v>143</v>
      </c>
      <c r="H168" s="294" t="s">
        <v>143</v>
      </c>
      <c r="I168" s="294" t="s">
        <v>143</v>
      </c>
      <c r="J168" s="294" t="s">
        <v>143</v>
      </c>
      <c r="K168" s="294" t="s">
        <v>143</v>
      </c>
      <c r="L168" s="294" t="s">
        <v>143</v>
      </c>
      <c r="M168" s="294" t="s">
        <v>143</v>
      </c>
      <c r="N168" s="294" t="s">
        <v>143</v>
      </c>
      <c r="O168" s="294" t="s">
        <v>143</v>
      </c>
      <c r="P168" s="294" t="s">
        <v>143</v>
      </c>
      <c r="Q168" s="294" t="s">
        <v>143</v>
      </c>
      <c r="R168" s="294" t="s">
        <v>143</v>
      </c>
      <c r="S168" s="294" t="s">
        <v>143</v>
      </c>
      <c r="T168" s="294" t="s">
        <v>143</v>
      </c>
      <c r="U168" s="294" t="s">
        <v>143</v>
      </c>
      <c r="V168" s="294" t="s">
        <v>143</v>
      </c>
      <c r="W168" s="294" t="s">
        <v>143</v>
      </c>
      <c r="X168" s="294" t="s">
        <v>143</v>
      </c>
      <c r="Y168" s="294" t="s">
        <v>143</v>
      </c>
      <c r="Z168" s="294" t="s">
        <v>143</v>
      </c>
      <c r="AA168" s="294" t="s">
        <v>143</v>
      </c>
    </row>
    <row r="169" spans="2:27" x14ac:dyDescent="0.3">
      <c r="B169" s="305" t="s">
        <v>207</v>
      </c>
      <c r="C169" s="306"/>
      <c r="D169" s="306"/>
      <c r="E169" s="306"/>
      <c r="F169" s="306"/>
      <c r="G169" s="307">
        <f>+SUM(G170:G173)</f>
        <v>0</v>
      </c>
      <c r="H169" s="307">
        <f t="shared" ref="H169:AA169" si="80">+SUM(H170:H173)</f>
        <v>0</v>
      </c>
      <c r="I169" s="307">
        <f t="shared" si="80"/>
        <v>0</v>
      </c>
      <c r="J169" s="307">
        <f t="shared" si="80"/>
        <v>0</v>
      </c>
      <c r="K169" s="307">
        <f t="shared" si="80"/>
        <v>0</v>
      </c>
      <c r="L169" s="307">
        <f t="shared" si="80"/>
        <v>0</v>
      </c>
      <c r="M169" s="307">
        <f t="shared" si="80"/>
        <v>0</v>
      </c>
      <c r="N169" s="307">
        <f t="shared" si="80"/>
        <v>0</v>
      </c>
      <c r="O169" s="307">
        <f t="shared" si="80"/>
        <v>0</v>
      </c>
      <c r="P169" s="307">
        <f t="shared" si="80"/>
        <v>0</v>
      </c>
      <c r="Q169" s="307">
        <f t="shared" si="80"/>
        <v>37230</v>
      </c>
      <c r="R169" s="307">
        <f t="shared" si="80"/>
        <v>37230</v>
      </c>
      <c r="S169" s="307">
        <f t="shared" si="80"/>
        <v>37230</v>
      </c>
      <c r="T169" s="307">
        <f t="shared" si="80"/>
        <v>781830</v>
      </c>
      <c r="U169" s="307">
        <f t="shared" si="80"/>
        <v>781830</v>
      </c>
      <c r="V169" s="307">
        <f t="shared" si="80"/>
        <v>781830</v>
      </c>
      <c r="W169" s="307">
        <f t="shared" si="80"/>
        <v>781830</v>
      </c>
      <c r="X169" s="307">
        <f t="shared" si="80"/>
        <v>781830</v>
      </c>
      <c r="Y169" s="307">
        <f t="shared" si="80"/>
        <v>781830</v>
      </c>
      <c r="Z169" s="307">
        <f t="shared" si="80"/>
        <v>781830</v>
      </c>
      <c r="AA169" s="307">
        <f t="shared" si="80"/>
        <v>781830</v>
      </c>
    </row>
    <row r="170" spans="2:27" x14ac:dyDescent="0.3">
      <c r="B170" s="297" t="s">
        <v>208</v>
      </c>
      <c r="C170" s="297"/>
      <c r="D170" s="297"/>
      <c r="E170" s="297"/>
      <c r="F170" s="297"/>
      <c r="G170" s="298"/>
      <c r="H170" s="298"/>
      <c r="I170" s="298"/>
      <c r="J170" s="298"/>
      <c r="K170" s="298"/>
      <c r="L170" s="298"/>
      <c r="M170" s="298"/>
      <c r="N170" s="298"/>
      <c r="O170" s="298"/>
      <c r="P170" s="298"/>
      <c r="Q170" s="298"/>
      <c r="R170" s="298"/>
      <c r="S170" s="298"/>
      <c r="T170" s="298"/>
      <c r="U170" s="298"/>
      <c r="V170" s="298"/>
      <c r="W170" s="298"/>
      <c r="X170" s="298"/>
      <c r="Y170" s="298"/>
      <c r="Z170" s="298"/>
      <c r="AA170" s="298"/>
    </row>
    <row r="171" spans="2:27" x14ac:dyDescent="0.3">
      <c r="B171" s="299" t="s">
        <v>208</v>
      </c>
      <c r="C171" s="285">
        <v>2020</v>
      </c>
      <c r="D171" s="286">
        <v>5</v>
      </c>
      <c r="E171" s="300">
        <v>0.85</v>
      </c>
      <c r="F171" s="300"/>
      <c r="G171" s="288">
        <f>+IF($C171&lt;=G$52,$D171*8760*$E171,0)</f>
        <v>0</v>
      </c>
      <c r="H171" s="288">
        <f t="shared" ref="H171:AA173" si="81">+IF($C171&lt;=H$52,$D171*8760*$E171,0)</f>
        <v>0</v>
      </c>
      <c r="I171" s="288">
        <f t="shared" si="81"/>
        <v>0</v>
      </c>
      <c r="J171" s="288">
        <f t="shared" si="81"/>
        <v>0</v>
      </c>
      <c r="K171" s="288">
        <f t="shared" si="81"/>
        <v>0</v>
      </c>
      <c r="L171" s="288">
        <f t="shared" si="81"/>
        <v>0</v>
      </c>
      <c r="M171" s="288">
        <f t="shared" si="81"/>
        <v>0</v>
      </c>
      <c r="N171" s="288">
        <f t="shared" si="81"/>
        <v>0</v>
      </c>
      <c r="O171" s="288">
        <f t="shared" si="81"/>
        <v>0</v>
      </c>
      <c r="P171" s="288">
        <f t="shared" si="81"/>
        <v>0</v>
      </c>
      <c r="Q171" s="288">
        <f t="shared" si="81"/>
        <v>37230</v>
      </c>
      <c r="R171" s="288">
        <f t="shared" si="81"/>
        <v>37230</v>
      </c>
      <c r="S171" s="288">
        <f t="shared" si="81"/>
        <v>37230</v>
      </c>
      <c r="T171" s="288">
        <f t="shared" si="81"/>
        <v>37230</v>
      </c>
      <c r="U171" s="288">
        <f t="shared" si="81"/>
        <v>37230</v>
      </c>
      <c r="V171" s="288">
        <f t="shared" si="81"/>
        <v>37230</v>
      </c>
      <c r="W171" s="288">
        <f t="shared" si="81"/>
        <v>37230</v>
      </c>
      <c r="X171" s="288">
        <f t="shared" si="81"/>
        <v>37230</v>
      </c>
      <c r="Y171" s="288">
        <f t="shared" si="81"/>
        <v>37230</v>
      </c>
      <c r="Z171" s="288">
        <f t="shared" si="81"/>
        <v>37230</v>
      </c>
      <c r="AA171" s="288">
        <f t="shared" si="81"/>
        <v>37230</v>
      </c>
    </row>
    <row r="172" spans="2:27" x14ac:dyDescent="0.3">
      <c r="B172" s="297" t="s">
        <v>209</v>
      </c>
      <c r="C172" s="297"/>
      <c r="D172" s="297"/>
      <c r="E172" s="297"/>
      <c r="F172" s="297"/>
      <c r="G172" s="298"/>
      <c r="H172" s="298"/>
      <c r="I172" s="298"/>
      <c r="J172" s="298"/>
      <c r="K172" s="298"/>
      <c r="L172" s="298"/>
      <c r="M172" s="298"/>
      <c r="N172" s="298"/>
      <c r="O172" s="298"/>
      <c r="P172" s="298"/>
      <c r="Q172" s="298"/>
      <c r="R172" s="298"/>
      <c r="S172" s="298"/>
      <c r="T172" s="298"/>
      <c r="U172" s="298"/>
      <c r="V172" s="298"/>
      <c r="W172" s="298"/>
      <c r="X172" s="298"/>
      <c r="Y172" s="298"/>
      <c r="Z172" s="298"/>
      <c r="AA172" s="298"/>
    </row>
    <row r="173" spans="2:27" x14ac:dyDescent="0.3">
      <c r="B173" s="299" t="str">
        <f>+B172</f>
        <v xml:space="preserve">Laguna Colorada </v>
      </c>
      <c r="C173" s="285">
        <v>2023</v>
      </c>
      <c r="D173" s="286">
        <v>100</v>
      </c>
      <c r="E173" s="300">
        <v>0.85</v>
      </c>
      <c r="F173" s="300"/>
      <c r="G173" s="288">
        <f>+IF($C173&lt;=G$52,$D173*8760*$E173,0)</f>
        <v>0</v>
      </c>
      <c r="H173" s="288">
        <f t="shared" si="81"/>
        <v>0</v>
      </c>
      <c r="I173" s="288">
        <f t="shared" si="81"/>
        <v>0</v>
      </c>
      <c r="J173" s="288">
        <f t="shared" si="81"/>
        <v>0</v>
      </c>
      <c r="K173" s="288">
        <f t="shared" si="81"/>
        <v>0</v>
      </c>
      <c r="L173" s="288">
        <f t="shared" si="81"/>
        <v>0</v>
      </c>
      <c r="M173" s="288">
        <f t="shared" si="81"/>
        <v>0</v>
      </c>
      <c r="N173" s="288">
        <f t="shared" si="81"/>
        <v>0</v>
      </c>
      <c r="O173" s="288">
        <f t="shared" si="81"/>
        <v>0</v>
      </c>
      <c r="P173" s="288">
        <f t="shared" si="81"/>
        <v>0</v>
      </c>
      <c r="Q173" s="288">
        <f t="shared" si="81"/>
        <v>0</v>
      </c>
      <c r="R173" s="288">
        <f t="shared" si="81"/>
        <v>0</v>
      </c>
      <c r="S173" s="288">
        <f t="shared" si="81"/>
        <v>0</v>
      </c>
      <c r="T173" s="288">
        <f t="shared" si="81"/>
        <v>744600</v>
      </c>
      <c r="U173" s="288">
        <f t="shared" si="81"/>
        <v>744600</v>
      </c>
      <c r="V173" s="288">
        <f t="shared" si="81"/>
        <v>744600</v>
      </c>
      <c r="W173" s="288">
        <f t="shared" si="81"/>
        <v>744600</v>
      </c>
      <c r="X173" s="288">
        <f t="shared" si="81"/>
        <v>744600</v>
      </c>
      <c r="Y173" s="288">
        <f t="shared" si="81"/>
        <v>744600</v>
      </c>
      <c r="Z173" s="288">
        <f t="shared" si="81"/>
        <v>744600</v>
      </c>
      <c r="AA173" s="288">
        <f t="shared" si="81"/>
        <v>744600</v>
      </c>
    </row>
    <row r="174" spans="2:27" x14ac:dyDescent="0.3">
      <c r="B174" s="231"/>
      <c r="C174" s="310"/>
      <c r="D174" s="311"/>
      <c r="E174" s="303"/>
      <c r="F174" s="303"/>
      <c r="G174" s="231"/>
      <c r="H174" s="231"/>
      <c r="I174" s="231"/>
      <c r="J174" s="304"/>
      <c r="K174" s="304"/>
      <c r="L174" s="304"/>
      <c r="M174" s="304"/>
      <c r="N174" s="304"/>
      <c r="O174" s="304"/>
      <c r="P174" s="304"/>
      <c r="Q174" s="304"/>
      <c r="R174" s="304"/>
      <c r="S174" s="304"/>
      <c r="T174" s="304"/>
      <c r="U174" s="304"/>
      <c r="V174" s="304"/>
      <c r="W174" s="304"/>
      <c r="X174" s="304"/>
      <c r="Y174" s="304"/>
      <c r="Z174" s="304"/>
      <c r="AA174" s="304"/>
    </row>
    <row r="175" spans="2:27" x14ac:dyDescent="0.3">
      <c r="B175" s="243"/>
      <c r="C175" s="211"/>
      <c r="D175" s="211"/>
      <c r="E175" s="211"/>
      <c r="F175" s="244"/>
      <c r="G175" s="212">
        <v>2010</v>
      </c>
      <c r="H175" s="212">
        <v>2011</v>
      </c>
      <c r="I175" s="212">
        <v>2012</v>
      </c>
      <c r="J175" s="212">
        <v>2013</v>
      </c>
      <c r="K175" s="212">
        <v>2014</v>
      </c>
      <c r="L175" s="212">
        <v>2015</v>
      </c>
      <c r="M175" s="212">
        <v>2016</v>
      </c>
      <c r="N175" s="212">
        <v>2017</v>
      </c>
      <c r="O175" s="212">
        <v>2018</v>
      </c>
      <c r="P175" s="212">
        <v>2019</v>
      </c>
      <c r="Q175" s="212">
        <v>2020</v>
      </c>
      <c r="R175" s="212">
        <v>2021</v>
      </c>
      <c r="S175" s="212">
        <v>2022</v>
      </c>
      <c r="T175" s="212">
        <v>2023</v>
      </c>
      <c r="U175" s="212">
        <v>2024</v>
      </c>
      <c r="V175" s="212">
        <v>2025</v>
      </c>
      <c r="W175" s="212">
        <v>2026</v>
      </c>
      <c r="X175" s="212">
        <v>2027</v>
      </c>
      <c r="Y175" s="212">
        <v>2028</v>
      </c>
      <c r="Z175" s="212">
        <v>2029</v>
      </c>
      <c r="AA175" s="212">
        <v>2030</v>
      </c>
    </row>
    <row r="176" spans="2:27" ht="28.8" x14ac:dyDescent="0.3">
      <c r="B176" s="291" t="s">
        <v>164</v>
      </c>
      <c r="C176" s="292" t="s">
        <v>139</v>
      </c>
      <c r="D176" s="274" t="s">
        <v>140</v>
      </c>
      <c r="E176" s="293" t="s">
        <v>141</v>
      </c>
      <c r="F176" s="293"/>
      <c r="G176" s="294" t="s">
        <v>143</v>
      </c>
      <c r="H176" s="294" t="s">
        <v>143</v>
      </c>
      <c r="I176" s="294" t="s">
        <v>143</v>
      </c>
      <c r="J176" s="294" t="s">
        <v>143</v>
      </c>
      <c r="K176" s="294" t="s">
        <v>143</v>
      </c>
      <c r="L176" s="294" t="s">
        <v>143</v>
      </c>
      <c r="M176" s="294" t="s">
        <v>143</v>
      </c>
      <c r="N176" s="294" t="s">
        <v>143</v>
      </c>
      <c r="O176" s="294" t="s">
        <v>143</v>
      </c>
      <c r="P176" s="294" t="s">
        <v>143</v>
      </c>
      <c r="Q176" s="294" t="s">
        <v>143</v>
      </c>
      <c r="R176" s="294" t="s">
        <v>143</v>
      </c>
      <c r="S176" s="294" t="s">
        <v>143</v>
      </c>
      <c r="T176" s="294" t="s">
        <v>143</v>
      </c>
      <c r="U176" s="294" t="s">
        <v>143</v>
      </c>
      <c r="V176" s="294" t="s">
        <v>143</v>
      </c>
      <c r="W176" s="294" t="s">
        <v>143</v>
      </c>
      <c r="X176" s="294" t="s">
        <v>143</v>
      </c>
      <c r="Y176" s="294" t="s">
        <v>143</v>
      </c>
      <c r="Z176" s="294" t="s">
        <v>143</v>
      </c>
      <c r="AA176" s="294" t="s">
        <v>143</v>
      </c>
    </row>
    <row r="177" spans="2:29" x14ac:dyDescent="0.3">
      <c r="B177" s="305" t="s">
        <v>210</v>
      </c>
      <c r="C177" s="306"/>
      <c r="D177" s="306"/>
      <c r="E177" s="306"/>
      <c r="F177" s="306"/>
      <c r="G177" s="307">
        <f>+SUM(G178:G183)</f>
        <v>0</v>
      </c>
      <c r="H177" s="307">
        <f t="shared" ref="H177:AA177" si="82">+SUM(H178:H183)</f>
        <v>0</v>
      </c>
      <c r="I177" s="307">
        <f t="shared" si="82"/>
        <v>0</v>
      </c>
      <c r="J177" s="307">
        <f t="shared" si="82"/>
        <v>0</v>
      </c>
      <c r="K177" s="307">
        <f t="shared" si="82"/>
        <v>0</v>
      </c>
      <c r="L177" s="307">
        <f t="shared" si="82"/>
        <v>0</v>
      </c>
      <c r="M177" s="307">
        <f t="shared" si="82"/>
        <v>0</v>
      </c>
      <c r="N177" s="307">
        <f t="shared" si="82"/>
        <v>0</v>
      </c>
      <c r="O177" s="307">
        <f t="shared" si="82"/>
        <v>0</v>
      </c>
      <c r="P177" s="307">
        <f t="shared" si="82"/>
        <v>0</v>
      </c>
      <c r="Q177" s="307">
        <f>+SUM(Q178:Q183)</f>
        <v>372300</v>
      </c>
      <c r="R177" s="307">
        <f t="shared" si="82"/>
        <v>372300</v>
      </c>
      <c r="S177" s="307">
        <f t="shared" si="82"/>
        <v>372300</v>
      </c>
      <c r="T177" s="307">
        <f t="shared" si="82"/>
        <v>372300</v>
      </c>
      <c r="U177" s="307">
        <f t="shared" si="82"/>
        <v>372300</v>
      </c>
      <c r="V177" s="307">
        <f t="shared" si="82"/>
        <v>372300</v>
      </c>
      <c r="W177" s="307">
        <f t="shared" si="82"/>
        <v>372300</v>
      </c>
      <c r="X177" s="307">
        <f t="shared" si="82"/>
        <v>372300</v>
      </c>
      <c r="Y177" s="307">
        <f t="shared" si="82"/>
        <v>372300</v>
      </c>
      <c r="Z177" s="307">
        <f t="shared" si="82"/>
        <v>372300</v>
      </c>
      <c r="AA177" s="307">
        <f t="shared" si="82"/>
        <v>372300</v>
      </c>
    </row>
    <row r="178" spans="2:29" x14ac:dyDescent="0.3">
      <c r="B178" s="297" t="s">
        <v>211</v>
      </c>
      <c r="C178" s="297"/>
      <c r="D178" s="297"/>
      <c r="E178" s="297"/>
      <c r="F178" s="297"/>
      <c r="G178" s="298"/>
      <c r="H178" s="298"/>
      <c r="I178" s="298"/>
      <c r="J178" s="298"/>
      <c r="K178" s="298"/>
      <c r="L178" s="298"/>
      <c r="M178" s="298"/>
      <c r="N178" s="298"/>
      <c r="O178" s="298"/>
      <c r="P178" s="298"/>
      <c r="Q178" s="298"/>
      <c r="R178" s="298"/>
      <c r="S178" s="298"/>
      <c r="T178" s="298"/>
      <c r="U178" s="298"/>
      <c r="V178" s="298"/>
      <c r="W178" s="298"/>
      <c r="X178" s="298"/>
      <c r="Y178" s="298"/>
      <c r="Z178" s="298"/>
      <c r="AA178" s="298"/>
    </row>
    <row r="179" spans="2:29" x14ac:dyDescent="0.3">
      <c r="B179" s="299" t="str">
        <f>+B178</f>
        <v>San Buenaventura</v>
      </c>
      <c r="C179" s="285">
        <v>2020</v>
      </c>
      <c r="D179" s="286">
        <v>10</v>
      </c>
      <c r="E179" s="300">
        <v>0.85</v>
      </c>
      <c r="F179" s="300"/>
      <c r="G179" s="288">
        <f>+IF($C179&lt;=G$52,$D179*8760*$E179,0)</f>
        <v>0</v>
      </c>
      <c r="H179" s="288">
        <f t="shared" ref="H179:AA183" si="83">+IF($C179&lt;=H$52,$D179*8760*$E179,0)</f>
        <v>0</v>
      </c>
      <c r="I179" s="288">
        <f t="shared" si="83"/>
        <v>0</v>
      </c>
      <c r="J179" s="288">
        <f t="shared" si="83"/>
        <v>0</v>
      </c>
      <c r="K179" s="288">
        <f t="shared" si="83"/>
        <v>0</v>
      </c>
      <c r="L179" s="288">
        <f t="shared" si="83"/>
        <v>0</v>
      </c>
      <c r="M179" s="288">
        <f t="shared" si="83"/>
        <v>0</v>
      </c>
      <c r="N179" s="288">
        <f t="shared" si="83"/>
        <v>0</v>
      </c>
      <c r="O179" s="288">
        <f t="shared" si="83"/>
        <v>0</v>
      </c>
      <c r="P179" s="288">
        <f t="shared" si="83"/>
        <v>0</v>
      </c>
      <c r="Q179" s="288">
        <f t="shared" si="83"/>
        <v>74460</v>
      </c>
      <c r="R179" s="288">
        <f t="shared" si="83"/>
        <v>74460</v>
      </c>
      <c r="S179" s="288">
        <f t="shared" si="83"/>
        <v>74460</v>
      </c>
      <c r="T179" s="288">
        <f t="shared" si="83"/>
        <v>74460</v>
      </c>
      <c r="U179" s="288">
        <f t="shared" si="83"/>
        <v>74460</v>
      </c>
      <c r="V179" s="288">
        <f t="shared" si="83"/>
        <v>74460</v>
      </c>
      <c r="W179" s="288">
        <f t="shared" si="83"/>
        <v>74460</v>
      </c>
      <c r="X179" s="288">
        <f t="shared" si="83"/>
        <v>74460</v>
      </c>
      <c r="Y179" s="288">
        <f t="shared" si="83"/>
        <v>74460</v>
      </c>
      <c r="Z179" s="288">
        <f t="shared" si="83"/>
        <v>74460</v>
      </c>
      <c r="AA179" s="288">
        <f t="shared" si="83"/>
        <v>74460</v>
      </c>
    </row>
    <row r="180" spans="2:29" x14ac:dyDescent="0.3">
      <c r="B180" s="297" t="s">
        <v>212</v>
      </c>
      <c r="C180" s="297"/>
      <c r="D180" s="297"/>
      <c r="E180" s="297"/>
      <c r="F180" s="297"/>
      <c r="G180" s="298"/>
      <c r="H180" s="298"/>
      <c r="I180" s="298"/>
      <c r="J180" s="298"/>
      <c r="K180" s="298"/>
      <c r="L180" s="298"/>
      <c r="M180" s="298"/>
      <c r="N180" s="298"/>
      <c r="O180" s="298"/>
      <c r="P180" s="298"/>
      <c r="Q180" s="298"/>
      <c r="R180" s="298"/>
      <c r="S180" s="298"/>
      <c r="T180" s="298"/>
      <c r="U180" s="298"/>
      <c r="V180" s="298"/>
      <c r="W180" s="298"/>
      <c r="X180" s="298"/>
      <c r="Y180" s="298"/>
      <c r="Z180" s="298"/>
      <c r="AA180" s="298"/>
    </row>
    <row r="181" spans="2:29" x14ac:dyDescent="0.3">
      <c r="B181" s="299" t="str">
        <f>+B180</f>
        <v>Cobija</v>
      </c>
      <c r="C181" s="285">
        <v>2020</v>
      </c>
      <c r="D181" s="286">
        <v>20</v>
      </c>
      <c r="E181" s="300">
        <v>0.85</v>
      </c>
      <c r="F181" s="300"/>
      <c r="G181" s="288">
        <f>+IF($C181&lt;=G$52,$D181*8760*$E181,0)</f>
        <v>0</v>
      </c>
      <c r="H181" s="288">
        <f t="shared" si="83"/>
        <v>0</v>
      </c>
      <c r="I181" s="288">
        <f t="shared" si="83"/>
        <v>0</v>
      </c>
      <c r="J181" s="288">
        <f t="shared" si="83"/>
        <v>0</v>
      </c>
      <c r="K181" s="288">
        <f t="shared" si="83"/>
        <v>0</v>
      </c>
      <c r="L181" s="288">
        <f t="shared" si="83"/>
        <v>0</v>
      </c>
      <c r="M181" s="288">
        <f t="shared" si="83"/>
        <v>0</v>
      </c>
      <c r="N181" s="288">
        <f t="shared" si="83"/>
        <v>0</v>
      </c>
      <c r="O181" s="288">
        <f t="shared" si="83"/>
        <v>0</v>
      </c>
      <c r="P181" s="288">
        <f t="shared" si="83"/>
        <v>0</v>
      </c>
      <c r="Q181" s="288">
        <f t="shared" si="83"/>
        <v>148920</v>
      </c>
      <c r="R181" s="288">
        <f t="shared" si="83"/>
        <v>148920</v>
      </c>
      <c r="S181" s="288">
        <f t="shared" si="83"/>
        <v>148920</v>
      </c>
      <c r="T181" s="288">
        <f t="shared" si="83"/>
        <v>148920</v>
      </c>
      <c r="U181" s="288">
        <f t="shared" si="83"/>
        <v>148920</v>
      </c>
      <c r="V181" s="288">
        <f t="shared" si="83"/>
        <v>148920</v>
      </c>
      <c r="W181" s="288">
        <f t="shared" si="83"/>
        <v>148920</v>
      </c>
      <c r="X181" s="288">
        <f t="shared" si="83"/>
        <v>148920</v>
      </c>
      <c r="Y181" s="288">
        <f t="shared" si="83"/>
        <v>148920</v>
      </c>
      <c r="Z181" s="288">
        <f t="shared" si="83"/>
        <v>148920</v>
      </c>
      <c r="AA181" s="288">
        <f t="shared" si="83"/>
        <v>148920</v>
      </c>
    </row>
    <row r="182" spans="2:29" x14ac:dyDescent="0.3">
      <c r="B182" s="297" t="s">
        <v>213</v>
      </c>
      <c r="C182" s="297"/>
      <c r="D182" s="297"/>
      <c r="E182" s="297"/>
      <c r="F182" s="297"/>
      <c r="G182" s="298"/>
      <c r="H182" s="298"/>
      <c r="I182" s="298"/>
      <c r="J182" s="298"/>
      <c r="K182" s="298"/>
      <c r="L182" s="298"/>
      <c r="M182" s="298"/>
      <c r="N182" s="298"/>
      <c r="O182" s="298"/>
      <c r="P182" s="298"/>
      <c r="Q182" s="298"/>
      <c r="R182" s="298"/>
      <c r="S182" s="298"/>
      <c r="T182" s="298"/>
      <c r="U182" s="298"/>
      <c r="V182" s="298"/>
      <c r="W182" s="298"/>
      <c r="X182" s="298"/>
      <c r="Y182" s="298"/>
      <c r="Z182" s="298"/>
      <c r="AA182" s="298"/>
    </row>
    <row r="183" spans="2:29" x14ac:dyDescent="0.3">
      <c r="B183" s="299" t="str">
        <f>+B182</f>
        <v>Riberalta</v>
      </c>
      <c r="C183" s="285">
        <v>2020</v>
      </c>
      <c r="D183" s="286">
        <v>20</v>
      </c>
      <c r="E183" s="300">
        <v>0.85</v>
      </c>
      <c r="F183" s="300"/>
      <c r="G183" s="288">
        <f>+IF($C183&lt;=G$52,$D183*8760*$E183,0)</f>
        <v>0</v>
      </c>
      <c r="H183" s="288">
        <f t="shared" si="83"/>
        <v>0</v>
      </c>
      <c r="I183" s="288">
        <f t="shared" si="83"/>
        <v>0</v>
      </c>
      <c r="J183" s="288">
        <f t="shared" si="83"/>
        <v>0</v>
      </c>
      <c r="K183" s="288">
        <f t="shared" si="83"/>
        <v>0</v>
      </c>
      <c r="L183" s="288">
        <f t="shared" si="83"/>
        <v>0</v>
      </c>
      <c r="M183" s="288">
        <f t="shared" si="83"/>
        <v>0</v>
      </c>
      <c r="N183" s="288">
        <f t="shared" si="83"/>
        <v>0</v>
      </c>
      <c r="O183" s="288">
        <f t="shared" si="83"/>
        <v>0</v>
      </c>
      <c r="P183" s="288">
        <f t="shared" si="83"/>
        <v>0</v>
      </c>
      <c r="Q183" s="288">
        <f t="shared" si="83"/>
        <v>148920</v>
      </c>
      <c r="R183" s="288">
        <f t="shared" si="83"/>
        <v>148920</v>
      </c>
      <c r="S183" s="288">
        <f t="shared" si="83"/>
        <v>148920</v>
      </c>
      <c r="T183" s="288">
        <f t="shared" si="83"/>
        <v>148920</v>
      </c>
      <c r="U183" s="288">
        <f t="shared" si="83"/>
        <v>148920</v>
      </c>
      <c r="V183" s="288">
        <f t="shared" si="83"/>
        <v>148920</v>
      </c>
      <c r="W183" s="288">
        <f t="shared" si="83"/>
        <v>148920</v>
      </c>
      <c r="X183" s="288">
        <f t="shared" si="83"/>
        <v>148920</v>
      </c>
      <c r="Y183" s="288">
        <f t="shared" si="83"/>
        <v>148920</v>
      </c>
      <c r="Z183" s="288">
        <f t="shared" si="83"/>
        <v>148920</v>
      </c>
      <c r="AA183" s="288">
        <f t="shared" si="83"/>
        <v>148920</v>
      </c>
    </row>
    <row r="184" spans="2:29" x14ac:dyDescent="0.3">
      <c r="B184" s="231"/>
      <c r="C184" s="310"/>
      <c r="D184" s="311"/>
      <c r="E184" s="303"/>
      <c r="F184" s="303"/>
      <c r="G184" s="231"/>
      <c r="H184" s="231"/>
      <c r="I184" s="231"/>
      <c r="J184" s="304"/>
      <c r="K184" s="304"/>
      <c r="L184" s="304"/>
      <c r="M184" s="304"/>
      <c r="N184" s="304"/>
      <c r="O184" s="304"/>
      <c r="P184" s="304"/>
      <c r="Q184" s="304"/>
      <c r="R184" s="304"/>
      <c r="S184" s="304"/>
      <c r="T184" s="304"/>
      <c r="U184" s="304"/>
      <c r="V184" s="304"/>
      <c r="W184" s="304"/>
      <c r="X184" s="304"/>
      <c r="Y184" s="304"/>
      <c r="Z184" s="304"/>
      <c r="AA184" s="304"/>
    </row>
    <row r="185" spans="2:29" x14ac:dyDescent="0.3">
      <c r="B185" s="219"/>
      <c r="C185" s="219"/>
      <c r="D185" s="219"/>
      <c r="E185" s="219"/>
      <c r="F185" s="219"/>
      <c r="G185" s="268"/>
      <c r="H185" s="268"/>
      <c r="I185" s="268"/>
      <c r="J185" s="268"/>
      <c r="K185" s="268"/>
      <c r="L185" s="268"/>
      <c r="M185" s="268"/>
      <c r="N185" s="268"/>
      <c r="O185" s="268"/>
      <c r="P185" s="268"/>
      <c r="Q185" s="268"/>
      <c r="R185" s="268"/>
      <c r="S185" s="268"/>
      <c r="T185" s="268"/>
      <c r="U185" s="268"/>
      <c r="V185" s="268"/>
      <c r="W185" s="268"/>
      <c r="X185" s="268"/>
      <c r="Y185" s="268"/>
      <c r="Z185" s="268"/>
      <c r="AA185" s="268"/>
    </row>
    <row r="186" spans="2:29" x14ac:dyDescent="0.3">
      <c r="B186" s="270" t="s">
        <v>214</v>
      </c>
      <c r="C186" s="271"/>
      <c r="D186" s="271"/>
      <c r="E186" s="271"/>
      <c r="F186" s="271"/>
      <c r="G186" s="271"/>
      <c r="H186" s="271"/>
      <c r="I186" s="271"/>
      <c r="J186" s="271"/>
      <c r="K186" s="271"/>
      <c r="L186" s="271"/>
      <c r="M186" s="271"/>
      <c r="N186" s="271"/>
      <c r="O186" s="271"/>
      <c r="P186" s="271"/>
      <c r="Q186" s="271"/>
      <c r="R186" s="271"/>
      <c r="S186" s="271"/>
      <c r="T186" s="271"/>
      <c r="U186" s="271"/>
      <c r="V186" s="271"/>
      <c r="W186" s="271"/>
      <c r="X186" s="271"/>
      <c r="Y186" s="271"/>
      <c r="Z186" s="271"/>
      <c r="AA186" s="272"/>
    </row>
    <row r="187" spans="2:29" ht="13.95" customHeight="1" x14ac:dyDescent="0.3">
      <c r="B187" s="312"/>
      <c r="C187" s="312"/>
      <c r="D187" s="312"/>
      <c r="E187" s="312"/>
      <c r="F187" s="312"/>
      <c r="G187" s="312"/>
      <c r="H187" s="312"/>
      <c r="I187" s="312"/>
      <c r="J187" s="312"/>
      <c r="K187" s="312"/>
      <c r="L187" s="312"/>
      <c r="N187" s="313"/>
    </row>
    <row r="188" spans="2:29" x14ac:dyDescent="0.3">
      <c r="B188" s="243"/>
      <c r="C188" s="211"/>
      <c r="D188" s="211"/>
      <c r="E188" s="211"/>
      <c r="F188" s="244"/>
      <c r="G188" s="212">
        <v>2010</v>
      </c>
      <c r="H188" s="212">
        <v>2011</v>
      </c>
      <c r="I188" s="212">
        <v>2012</v>
      </c>
      <c r="J188" s="212">
        <v>2013</v>
      </c>
      <c r="K188" s="212">
        <v>2014</v>
      </c>
      <c r="L188" s="212">
        <v>2015</v>
      </c>
      <c r="M188" s="212">
        <v>2016</v>
      </c>
      <c r="N188" s="212">
        <v>2017</v>
      </c>
      <c r="O188" s="212">
        <v>2018</v>
      </c>
      <c r="P188" s="212">
        <v>2019</v>
      </c>
      <c r="Q188" s="212">
        <v>2020</v>
      </c>
      <c r="R188" s="212">
        <v>2021</v>
      </c>
      <c r="S188" s="212">
        <v>2022</v>
      </c>
      <c r="T188" s="212">
        <v>2023</v>
      </c>
      <c r="U188" s="212">
        <v>2024</v>
      </c>
      <c r="V188" s="212">
        <v>2025</v>
      </c>
      <c r="W188" s="212">
        <v>2026</v>
      </c>
      <c r="X188" s="212">
        <v>2027</v>
      </c>
      <c r="Y188" s="212">
        <v>2028</v>
      </c>
      <c r="Z188" s="212">
        <v>2029</v>
      </c>
      <c r="AA188" s="212">
        <v>2030</v>
      </c>
    </row>
    <row r="189" spans="2:29" ht="30" x14ac:dyDescent="0.35">
      <c r="B189" s="273" t="s">
        <v>138</v>
      </c>
      <c r="C189" s="274" t="s">
        <v>139</v>
      </c>
      <c r="D189" s="274" t="s">
        <v>140</v>
      </c>
      <c r="E189" s="275" t="s">
        <v>141</v>
      </c>
      <c r="F189" s="294" t="s">
        <v>215</v>
      </c>
      <c r="G189" s="276" t="s">
        <v>143</v>
      </c>
      <c r="H189" s="276" t="s">
        <v>143</v>
      </c>
      <c r="I189" s="276" t="s">
        <v>143</v>
      </c>
      <c r="J189" s="276" t="s">
        <v>143</v>
      </c>
      <c r="K189" s="276" t="s">
        <v>143</v>
      </c>
      <c r="L189" s="276" t="s">
        <v>143</v>
      </c>
      <c r="M189" s="276" t="s">
        <v>143</v>
      </c>
      <c r="N189" s="276" t="s">
        <v>143</v>
      </c>
      <c r="O189" s="276" t="s">
        <v>143</v>
      </c>
      <c r="P189" s="276" t="s">
        <v>143</v>
      </c>
      <c r="Q189" s="276" t="s">
        <v>143</v>
      </c>
      <c r="R189" s="276" t="s">
        <v>143</v>
      </c>
      <c r="S189" s="276" t="s">
        <v>143</v>
      </c>
      <c r="T189" s="276" t="s">
        <v>143</v>
      </c>
      <c r="U189" s="276" t="s">
        <v>143</v>
      </c>
      <c r="V189" s="276" t="s">
        <v>143</v>
      </c>
      <c r="W189" s="276" t="s">
        <v>143</v>
      </c>
      <c r="X189" s="276" t="s">
        <v>143</v>
      </c>
      <c r="Y189" s="276" t="s">
        <v>143</v>
      </c>
      <c r="Z189" s="276" t="s">
        <v>143</v>
      </c>
      <c r="AA189" s="276" t="s">
        <v>143</v>
      </c>
    </row>
    <row r="190" spans="2:29" x14ac:dyDescent="0.3">
      <c r="B190" s="278" t="s">
        <v>144</v>
      </c>
      <c r="C190" s="278"/>
      <c r="D190" s="279"/>
      <c r="E190" s="279"/>
      <c r="F190" s="279"/>
      <c r="G190" s="280">
        <f>SUM(G191:G258)</f>
        <v>3875855.7150321514</v>
      </c>
      <c r="H190" s="280">
        <f t="shared" ref="H190:M190" si="84">SUM(H191:H258)</f>
        <v>4204795.5495570004</v>
      </c>
      <c r="I190" s="280">
        <f t="shared" si="84"/>
        <v>4475347.2606733171</v>
      </c>
      <c r="J190" s="280">
        <f t="shared" si="84"/>
        <v>4692441.8888248773</v>
      </c>
      <c r="K190" s="280">
        <f t="shared" si="84"/>
        <v>5426028.4641763652</v>
      </c>
      <c r="L190" s="280">
        <f t="shared" si="84"/>
        <v>5718182.0382411722</v>
      </c>
      <c r="M190" s="280">
        <f t="shared" si="84"/>
        <v>6857813.3036782192</v>
      </c>
      <c r="N190" s="280">
        <f>SUM(N191:N258)</f>
        <v>6556082.4895821987</v>
      </c>
      <c r="O190" s="280">
        <f>SUM(O191:O258)</f>
        <v>6373210.9984091837</v>
      </c>
      <c r="P190" s="280">
        <f t="shared" ref="P190:Z190" si="85">SUM(P191:P258)</f>
        <v>6538663.1966314064</v>
      </c>
      <c r="Q190" s="280">
        <f t="shared" si="85"/>
        <v>5665884.7986711618</v>
      </c>
      <c r="R190" s="280">
        <f t="shared" si="85"/>
        <v>5616449.8879181677</v>
      </c>
      <c r="S190" s="280">
        <f>SUM(S191:S258)</f>
        <v>5648877.553926399</v>
      </c>
      <c r="T190" s="280">
        <f>SUM(T191:T258)</f>
        <v>5636963.7091966337</v>
      </c>
      <c r="U190" s="280">
        <f t="shared" si="85"/>
        <v>5634097.0503470665</v>
      </c>
      <c r="V190" s="280">
        <f t="shared" si="85"/>
        <v>3245992.0320150317</v>
      </c>
      <c r="W190" s="280">
        <f t="shared" si="85"/>
        <v>3243025.9933140208</v>
      </c>
      <c r="X190" s="280">
        <f t="shared" si="85"/>
        <v>3243042.5566225951</v>
      </c>
      <c r="Y190" s="280">
        <f t="shared" si="85"/>
        <v>3244020.1939838827</v>
      </c>
      <c r="Z190" s="280">
        <f t="shared" si="85"/>
        <v>0</v>
      </c>
      <c r="AA190" s="280">
        <f>SUM(AA191:AA258)</f>
        <v>0</v>
      </c>
      <c r="AB190" s="314"/>
      <c r="AC190" s="315"/>
    </row>
    <row r="191" spans="2:29" x14ac:dyDescent="0.3">
      <c r="B191" s="282" t="s">
        <v>216</v>
      </c>
      <c r="C191" s="282"/>
      <c r="D191" s="282"/>
      <c r="E191" s="282"/>
      <c r="F191" s="316"/>
      <c r="G191" s="283"/>
      <c r="H191" s="283"/>
      <c r="I191" s="283"/>
      <c r="J191" s="283"/>
      <c r="K191" s="283"/>
      <c r="L191" s="283"/>
      <c r="M191" s="283"/>
      <c r="N191" s="283"/>
      <c r="O191" s="283"/>
      <c r="P191" s="283"/>
      <c r="Q191" s="283"/>
      <c r="R191" s="283"/>
      <c r="S191" s="283"/>
      <c r="T191" s="283"/>
      <c r="U191" s="283"/>
      <c r="V191" s="283"/>
      <c r="W191" s="283"/>
      <c r="X191" s="283"/>
      <c r="Y191" s="283"/>
      <c r="Z191" s="283"/>
      <c r="AA191" s="283"/>
      <c r="AB191" s="317"/>
    </row>
    <row r="192" spans="2:29" x14ac:dyDescent="0.3">
      <c r="B192" s="284" t="s">
        <v>217</v>
      </c>
      <c r="C192" s="318">
        <v>2012</v>
      </c>
      <c r="D192" s="286">
        <v>17.5</v>
      </c>
      <c r="E192" s="319"/>
      <c r="F192" s="320">
        <f>+[16]OM_EF_2017!G24</f>
        <v>0.56430470027607305</v>
      </c>
      <c r="G192" s="288">
        <v>0</v>
      </c>
      <c r="H192" s="288">
        <v>0</v>
      </c>
      <c r="I192" s="288">
        <v>57810.708899999998</v>
      </c>
      <c r="J192" s="288">
        <v>107684.09799999998</v>
      </c>
      <c r="K192" s="288">
        <v>108265.76249999998</v>
      </c>
      <c r="L192" s="288">
        <v>62901.071699999942</v>
      </c>
      <c r="M192" s="288">
        <v>100635.927</v>
      </c>
      <c r="N192" s="288">
        <v>49236.522900000004</v>
      </c>
      <c r="O192" s="288">
        <f>+AVERAGE($L$192:$N$192)</f>
        <v>70924.507199999978</v>
      </c>
      <c r="P192" s="288">
        <f t="shared" ref="P192:Y192" si="86">+AVERAGE($L$192:$N$192)</f>
        <v>70924.507199999978</v>
      </c>
      <c r="Q192" s="288">
        <f t="shared" si="86"/>
        <v>70924.507199999978</v>
      </c>
      <c r="R192" s="288">
        <f t="shared" si="86"/>
        <v>70924.507199999978</v>
      </c>
      <c r="S192" s="288">
        <f t="shared" si="86"/>
        <v>70924.507199999978</v>
      </c>
      <c r="T192" s="288">
        <f t="shared" si="86"/>
        <v>70924.507199999978</v>
      </c>
      <c r="U192" s="288">
        <f t="shared" si="86"/>
        <v>70924.507199999978</v>
      </c>
      <c r="V192" s="288">
        <f t="shared" si="86"/>
        <v>70924.507199999978</v>
      </c>
      <c r="W192" s="288">
        <f t="shared" si="86"/>
        <v>70924.507199999978</v>
      </c>
      <c r="X192" s="288">
        <f t="shared" si="86"/>
        <v>70924.507199999978</v>
      </c>
      <c r="Y192" s="288">
        <f t="shared" si="86"/>
        <v>70924.507199999978</v>
      </c>
      <c r="Z192" s="321"/>
      <c r="AA192" s="321"/>
      <c r="AB192" s="317"/>
    </row>
    <row r="193" spans="2:28" x14ac:dyDescent="0.3">
      <c r="B193" s="284" t="s">
        <v>218</v>
      </c>
      <c r="C193" s="318">
        <v>2013</v>
      </c>
      <c r="D193" s="286">
        <v>32.4</v>
      </c>
      <c r="E193" s="319"/>
      <c r="F193" s="320">
        <f>+[16]OM_EF_2017!G25</f>
        <v>0.4944620795160809</v>
      </c>
      <c r="G193" s="288">
        <v>0</v>
      </c>
      <c r="H193" s="288">
        <v>0</v>
      </c>
      <c r="I193" s="288">
        <v>0</v>
      </c>
      <c r="J193" s="288">
        <v>103575.98907</v>
      </c>
      <c r="K193" s="288">
        <v>74350.106548000011</v>
      </c>
      <c r="L193" s="288">
        <v>230006.70250000007</v>
      </c>
      <c r="M193" s="288">
        <v>213864.51399999997</v>
      </c>
      <c r="N193" s="288">
        <v>148687.6958000001</v>
      </c>
      <c r="O193" s="288">
        <f>+AVERAGE($L$193:$N$193)</f>
        <v>197519.63743333341</v>
      </c>
      <c r="P193" s="288">
        <f t="shared" ref="P193:Y193" si="87">+AVERAGE($L$193:$N$193)</f>
        <v>197519.63743333341</v>
      </c>
      <c r="Q193" s="288">
        <f t="shared" si="87"/>
        <v>197519.63743333341</v>
      </c>
      <c r="R193" s="288">
        <f t="shared" si="87"/>
        <v>197519.63743333341</v>
      </c>
      <c r="S193" s="288">
        <f t="shared" si="87"/>
        <v>197519.63743333341</v>
      </c>
      <c r="T193" s="288">
        <f t="shared" si="87"/>
        <v>197519.63743333341</v>
      </c>
      <c r="U193" s="288">
        <f t="shared" si="87"/>
        <v>197519.63743333341</v>
      </c>
      <c r="V193" s="288">
        <f t="shared" si="87"/>
        <v>197519.63743333341</v>
      </c>
      <c r="W193" s="288">
        <f t="shared" si="87"/>
        <v>197519.63743333341</v>
      </c>
      <c r="X193" s="288">
        <f t="shared" si="87"/>
        <v>197519.63743333341</v>
      </c>
      <c r="Y193" s="288">
        <f t="shared" si="87"/>
        <v>197519.63743333341</v>
      </c>
      <c r="Z193" s="321"/>
      <c r="AA193" s="321"/>
      <c r="AB193" s="317"/>
    </row>
    <row r="194" spans="2:28" x14ac:dyDescent="0.3">
      <c r="B194" s="282" t="s">
        <v>219</v>
      </c>
      <c r="C194" s="322"/>
      <c r="D194" s="282"/>
      <c r="E194" s="282"/>
      <c r="F194" s="316"/>
      <c r="G194" s="283"/>
      <c r="H194" s="283"/>
      <c r="I194" s="283"/>
      <c r="J194" s="283"/>
      <c r="K194" s="283"/>
      <c r="L194" s="283"/>
      <c r="M194" s="283"/>
      <c r="N194" s="283"/>
      <c r="O194" s="283"/>
      <c r="P194" s="283"/>
      <c r="Q194" s="283"/>
      <c r="R194" s="283"/>
      <c r="S194" s="283"/>
      <c r="T194" s="283"/>
      <c r="U194" s="283"/>
      <c r="V194" s="283"/>
      <c r="W194" s="283"/>
      <c r="X194" s="283"/>
      <c r="Y194" s="283"/>
      <c r="Z194" s="283"/>
      <c r="AA194" s="283"/>
      <c r="AB194" s="317"/>
    </row>
    <row r="195" spans="2:28" x14ac:dyDescent="0.3">
      <c r="B195" s="284" t="s">
        <v>220</v>
      </c>
      <c r="C195" s="318">
        <v>1974</v>
      </c>
      <c r="D195" s="286">
        <v>3</v>
      </c>
      <c r="E195" s="319"/>
      <c r="F195" s="320">
        <f>+[16]OM_EF_2017!G27</f>
        <v>0.60378353760396697</v>
      </c>
      <c r="G195" s="288">
        <v>0</v>
      </c>
      <c r="H195" s="288">
        <v>1295.25873</v>
      </c>
      <c r="I195" s="288">
        <v>6370.2055145175</v>
      </c>
      <c r="J195" s="288">
        <v>1574.99368394</v>
      </c>
      <c r="K195" s="288">
        <v>5457.5982823000022</v>
      </c>
      <c r="L195" s="288">
        <v>903.1293569275839</v>
      </c>
      <c r="M195" s="288">
        <v>2065.3987464399997</v>
      </c>
      <c r="N195" s="288">
        <v>511.0025</v>
      </c>
      <c r="O195" s="288">
        <f t="shared" ref="O195:P195" si="88">+AVERAGE($L$195:$N$195)</f>
        <v>1159.8435344558613</v>
      </c>
      <c r="P195" s="288">
        <f t="shared" si="88"/>
        <v>1159.8435344558613</v>
      </c>
      <c r="Q195" s="321"/>
      <c r="R195" s="321"/>
      <c r="S195" s="321"/>
      <c r="T195" s="321"/>
      <c r="U195" s="321"/>
      <c r="V195" s="321"/>
      <c r="W195" s="321"/>
      <c r="X195" s="321"/>
      <c r="Y195" s="321"/>
      <c r="Z195" s="321"/>
      <c r="AA195" s="321"/>
      <c r="AB195" s="317"/>
    </row>
    <row r="196" spans="2:28" x14ac:dyDescent="0.3">
      <c r="B196" s="284" t="s">
        <v>221</v>
      </c>
      <c r="C196" s="318">
        <v>1974</v>
      </c>
      <c r="D196" s="286">
        <v>3</v>
      </c>
      <c r="E196" s="319"/>
      <c r="F196" s="320">
        <f>+[16]OM_EF_2017!G28</f>
        <v>0.60378353760396697</v>
      </c>
      <c r="G196" s="288">
        <v>7078.1761228214964</v>
      </c>
      <c r="H196" s="288">
        <v>6630.8057900000003</v>
      </c>
      <c r="I196" s="288">
        <v>0</v>
      </c>
      <c r="J196" s="288">
        <v>0</v>
      </c>
      <c r="K196" s="288">
        <v>1826.3282691160052</v>
      </c>
      <c r="L196" s="288">
        <v>911.2479539279999</v>
      </c>
      <c r="M196" s="288">
        <v>2494.435346064</v>
      </c>
      <c r="N196" s="288">
        <v>148.19450000000001</v>
      </c>
      <c r="O196" s="288">
        <f t="shared" ref="O196:P196" si="89">+AVERAGE($L$196:$N$196)</f>
        <v>1184.6259333306666</v>
      </c>
      <c r="P196" s="288">
        <f t="shared" si="89"/>
        <v>1184.6259333306666</v>
      </c>
      <c r="Q196" s="321"/>
      <c r="R196" s="321"/>
      <c r="S196" s="321"/>
      <c r="T196" s="321"/>
      <c r="U196" s="321"/>
      <c r="V196" s="321"/>
      <c r="W196" s="321"/>
      <c r="X196" s="321"/>
      <c r="Y196" s="321"/>
      <c r="Z196" s="321"/>
      <c r="AA196" s="321"/>
      <c r="AB196" s="317"/>
    </row>
    <row r="197" spans="2:28" x14ac:dyDescent="0.3">
      <c r="B197" s="284" t="s">
        <v>222</v>
      </c>
      <c r="C197" s="318">
        <v>1974</v>
      </c>
      <c r="D197" s="286">
        <v>3</v>
      </c>
      <c r="E197" s="319"/>
      <c r="F197" s="320">
        <f>+[16]OM_EF_2017!G29</f>
        <v>0.60378353760396697</v>
      </c>
      <c r="G197" s="288">
        <v>6933.803202000001</v>
      </c>
      <c r="H197" s="288">
        <v>3921.550401</v>
      </c>
      <c r="I197" s="288">
        <v>7512.4494400000012</v>
      </c>
      <c r="J197" s="288">
        <v>1769.8755000000001</v>
      </c>
      <c r="K197" s="288">
        <v>5453.1379999999999</v>
      </c>
      <c r="L197" s="288">
        <v>742.68149999999991</v>
      </c>
      <c r="M197" s="288">
        <v>3046.8119999999999</v>
      </c>
      <c r="N197" s="288">
        <v>740.51250000000005</v>
      </c>
      <c r="O197" s="288">
        <f t="shared" ref="O197:P197" si="90">+AVERAGE($L$197:$N$197)</f>
        <v>1510.0019999999997</v>
      </c>
      <c r="P197" s="288">
        <f t="shared" si="90"/>
        <v>1510.0019999999997</v>
      </c>
      <c r="Q197" s="321"/>
      <c r="R197" s="321"/>
      <c r="S197" s="321"/>
      <c r="T197" s="321"/>
      <c r="U197" s="321"/>
      <c r="V197" s="321"/>
      <c r="W197" s="321"/>
      <c r="X197" s="321"/>
      <c r="Y197" s="321"/>
      <c r="Z197" s="321"/>
      <c r="AA197" s="321"/>
      <c r="AB197" s="317"/>
    </row>
    <row r="198" spans="2:28" x14ac:dyDescent="0.3">
      <c r="B198" s="284" t="s">
        <v>223</v>
      </c>
      <c r="C198" s="318">
        <v>1970</v>
      </c>
      <c r="D198" s="286"/>
      <c r="E198" s="319"/>
      <c r="F198" s="320"/>
      <c r="G198" s="288">
        <v>0</v>
      </c>
      <c r="H198" s="288">
        <v>0</v>
      </c>
      <c r="I198" s="288">
        <v>0</v>
      </c>
      <c r="J198" s="288">
        <v>0</v>
      </c>
      <c r="K198" s="288">
        <v>0</v>
      </c>
      <c r="L198" s="288">
        <v>0</v>
      </c>
      <c r="M198" s="288">
        <v>0</v>
      </c>
      <c r="N198" s="288">
        <v>0</v>
      </c>
      <c r="O198" s="288">
        <f t="shared" ref="O198:O206" si="91">+AVERAGE(L198:N198)</f>
        <v>0</v>
      </c>
      <c r="P198" s="288">
        <f t="shared" ref="P198:AA199" si="92">+O198</f>
        <v>0</v>
      </c>
      <c r="Q198" s="288">
        <f t="shared" si="92"/>
        <v>0</v>
      </c>
      <c r="R198" s="288">
        <f t="shared" si="92"/>
        <v>0</v>
      </c>
      <c r="S198" s="288">
        <f t="shared" si="92"/>
        <v>0</v>
      </c>
      <c r="T198" s="288">
        <f t="shared" si="92"/>
        <v>0</v>
      </c>
      <c r="U198" s="288">
        <f t="shared" si="92"/>
        <v>0</v>
      </c>
      <c r="V198" s="288">
        <f t="shared" si="92"/>
        <v>0</v>
      </c>
      <c r="W198" s="288">
        <f t="shared" si="92"/>
        <v>0</v>
      </c>
      <c r="X198" s="288">
        <f t="shared" si="92"/>
        <v>0</v>
      </c>
      <c r="Y198" s="288">
        <f t="shared" si="92"/>
        <v>0</v>
      </c>
      <c r="Z198" s="288">
        <f t="shared" si="92"/>
        <v>0</v>
      </c>
      <c r="AA198" s="288">
        <f t="shared" si="92"/>
        <v>0</v>
      </c>
      <c r="AB198" s="317"/>
    </row>
    <row r="199" spans="2:28" x14ac:dyDescent="0.3">
      <c r="B199" s="284" t="s">
        <v>224</v>
      </c>
      <c r="C199" s="318">
        <v>1971</v>
      </c>
      <c r="D199" s="286"/>
      <c r="E199" s="319"/>
      <c r="F199" s="320"/>
      <c r="G199" s="288">
        <v>2.1599455000000001</v>
      </c>
      <c r="H199" s="288">
        <v>0</v>
      </c>
      <c r="I199" s="288">
        <v>0</v>
      </c>
      <c r="J199" s="288">
        <v>0</v>
      </c>
      <c r="K199" s="288">
        <v>0</v>
      </c>
      <c r="L199" s="288">
        <v>0</v>
      </c>
      <c r="M199" s="288">
        <v>0</v>
      </c>
      <c r="N199" s="288">
        <v>0</v>
      </c>
      <c r="O199" s="288">
        <f t="shared" si="91"/>
        <v>0</v>
      </c>
      <c r="P199" s="288">
        <f t="shared" si="92"/>
        <v>0</v>
      </c>
      <c r="Q199" s="288">
        <f t="shared" si="92"/>
        <v>0</v>
      </c>
      <c r="R199" s="288">
        <f t="shared" si="92"/>
        <v>0</v>
      </c>
      <c r="S199" s="288">
        <f t="shared" si="92"/>
        <v>0</v>
      </c>
      <c r="T199" s="288">
        <f t="shared" si="92"/>
        <v>0</v>
      </c>
      <c r="U199" s="288">
        <f t="shared" si="92"/>
        <v>0</v>
      </c>
      <c r="V199" s="288">
        <f t="shared" si="92"/>
        <v>0</v>
      </c>
      <c r="W199" s="288">
        <f t="shared" si="92"/>
        <v>0</v>
      </c>
      <c r="X199" s="288">
        <f t="shared" si="92"/>
        <v>0</v>
      </c>
      <c r="Y199" s="288">
        <f t="shared" si="92"/>
        <v>0</v>
      </c>
      <c r="Z199" s="288">
        <f t="shared" si="92"/>
        <v>0</v>
      </c>
      <c r="AA199" s="288">
        <f t="shared" si="92"/>
        <v>0</v>
      </c>
      <c r="AB199" s="317"/>
    </row>
    <row r="200" spans="2:28" x14ac:dyDescent="0.3">
      <c r="B200" s="284" t="s">
        <v>225</v>
      </c>
      <c r="C200" s="318">
        <v>1994</v>
      </c>
      <c r="D200" s="286">
        <v>18</v>
      </c>
      <c r="E200" s="319"/>
      <c r="F200" s="320">
        <f>+[16]OM_EF_2017!G30</f>
        <v>0.68049204311663647</v>
      </c>
      <c r="G200" s="288">
        <v>128803.56000000001</v>
      </c>
      <c r="H200" s="288">
        <v>132236.64000000001</v>
      </c>
      <c r="I200" s="288">
        <v>116890.92</v>
      </c>
      <c r="J200" s="288">
        <v>106260.78000000001</v>
      </c>
      <c r="K200" s="288">
        <v>105427.86</v>
      </c>
      <c r="L200" s="288">
        <v>83446.760000000184</v>
      </c>
      <c r="M200" s="288">
        <v>101154.24000000002</v>
      </c>
      <c r="N200" s="288">
        <v>139685.16</v>
      </c>
      <c r="O200" s="288">
        <f>+AVERAGE($L$200:$N$200)</f>
        <v>108095.38666666673</v>
      </c>
      <c r="P200" s="288">
        <f t="shared" ref="P200" si="93">+AVERAGE($L$200:$N$200)</f>
        <v>108095.38666666673</v>
      </c>
      <c r="Q200" s="321"/>
      <c r="R200" s="321"/>
      <c r="S200" s="321"/>
      <c r="T200" s="321"/>
      <c r="U200" s="321"/>
      <c r="V200" s="321"/>
      <c r="W200" s="321"/>
      <c r="X200" s="321"/>
      <c r="Y200" s="321"/>
      <c r="Z200" s="321"/>
      <c r="AA200" s="321"/>
      <c r="AB200" s="317"/>
    </row>
    <row r="201" spans="2:28" x14ac:dyDescent="0.3">
      <c r="B201" s="284" t="s">
        <v>226</v>
      </c>
      <c r="C201" s="318">
        <v>2007</v>
      </c>
      <c r="D201" s="286">
        <v>2</v>
      </c>
      <c r="E201" s="319"/>
      <c r="F201" s="320">
        <f>+[16]OM_EF_2017!G31</f>
        <v>0.53565738803214413</v>
      </c>
      <c r="G201" s="288">
        <v>8515.6443321999977</v>
      </c>
      <c r="H201" s="288">
        <v>9389.0358410000008</v>
      </c>
      <c r="I201" s="288">
        <v>1184.838632</v>
      </c>
      <c r="J201" s="288">
        <v>338.88614000000001</v>
      </c>
      <c r="K201" s="288">
        <v>10782.301104999993</v>
      </c>
      <c r="L201" s="288">
        <v>8423.3989699999547</v>
      </c>
      <c r="M201" s="288">
        <v>10825.283039999975</v>
      </c>
      <c r="N201" s="288">
        <v>697.1232500000001</v>
      </c>
      <c r="O201" s="288">
        <f>+AVERAGE($L$201:$N$201)</f>
        <v>6648.6017533333106</v>
      </c>
      <c r="P201" s="288">
        <f t="shared" ref="P201:U201" si="94">+AVERAGE($L$201:$N$201)</f>
        <v>6648.6017533333106</v>
      </c>
      <c r="Q201" s="288">
        <f t="shared" si="94"/>
        <v>6648.6017533333106</v>
      </c>
      <c r="R201" s="288">
        <f t="shared" si="94"/>
        <v>6648.6017533333106</v>
      </c>
      <c r="S201" s="288">
        <f t="shared" si="94"/>
        <v>6648.6017533333106</v>
      </c>
      <c r="T201" s="288">
        <f t="shared" si="94"/>
        <v>6648.6017533333106</v>
      </c>
      <c r="U201" s="288">
        <f t="shared" si="94"/>
        <v>6648.6017533333106</v>
      </c>
      <c r="V201" s="321"/>
      <c r="W201" s="321"/>
      <c r="X201" s="321"/>
      <c r="Y201" s="321"/>
      <c r="Z201" s="321"/>
      <c r="AA201" s="321"/>
      <c r="AB201" s="317"/>
    </row>
    <row r="202" spans="2:28" x14ac:dyDescent="0.3">
      <c r="B202" s="284" t="s">
        <v>227</v>
      </c>
      <c r="C202" s="318">
        <v>2007</v>
      </c>
      <c r="D202" s="286">
        <v>2</v>
      </c>
      <c r="E202" s="319"/>
      <c r="F202" s="320">
        <f>+[16]OM_EF_2017!G32</f>
        <v>0.53565738803214413</v>
      </c>
      <c r="G202" s="288">
        <v>5375.3301001449963</v>
      </c>
      <c r="H202" s="288">
        <v>6762.7585799999997</v>
      </c>
      <c r="I202" s="288">
        <v>8797.9958194499977</v>
      </c>
      <c r="J202" s="288">
        <v>4904.8445299999994</v>
      </c>
      <c r="K202" s="288">
        <v>2009.3795900000014</v>
      </c>
      <c r="L202" s="288">
        <v>0</v>
      </c>
      <c r="M202" s="288">
        <v>0</v>
      </c>
      <c r="N202" s="288">
        <v>0</v>
      </c>
      <c r="O202" s="288">
        <f t="shared" si="91"/>
        <v>0</v>
      </c>
      <c r="P202" s="288">
        <f t="shared" ref="P202:U202" si="95">+O202</f>
        <v>0</v>
      </c>
      <c r="Q202" s="288">
        <f t="shared" si="95"/>
        <v>0</v>
      </c>
      <c r="R202" s="288">
        <f t="shared" si="95"/>
        <v>0</v>
      </c>
      <c r="S202" s="288">
        <f t="shared" si="95"/>
        <v>0</v>
      </c>
      <c r="T202" s="288">
        <f t="shared" si="95"/>
        <v>0</v>
      </c>
      <c r="U202" s="288">
        <f t="shared" si="95"/>
        <v>0</v>
      </c>
      <c r="V202" s="288"/>
      <c r="W202" s="288"/>
      <c r="X202" s="288"/>
      <c r="Y202" s="288"/>
      <c r="Z202" s="288"/>
      <c r="AA202" s="288"/>
      <c r="AB202" s="317"/>
    </row>
    <row r="203" spans="2:28" x14ac:dyDescent="0.3">
      <c r="B203" s="284" t="s">
        <v>78</v>
      </c>
      <c r="C203" s="318">
        <v>2007</v>
      </c>
      <c r="D203" s="286">
        <v>2</v>
      </c>
      <c r="E203" s="319"/>
      <c r="F203" s="320">
        <f>+[16]OM_EF_2017!G33</f>
        <v>0.53565738803214413</v>
      </c>
      <c r="G203" s="288">
        <v>5023.2107812749982</v>
      </c>
      <c r="H203" s="288">
        <v>0</v>
      </c>
      <c r="I203" s="288">
        <v>8208.257778800009</v>
      </c>
      <c r="J203" s="288">
        <v>9655.3631199999982</v>
      </c>
      <c r="K203" s="288">
        <v>5505.7637099999756</v>
      </c>
      <c r="L203" s="288">
        <v>4874.0930399999925</v>
      </c>
      <c r="M203" s="288">
        <v>10874.30593000001</v>
      </c>
      <c r="N203" s="288">
        <v>657.71189500000003</v>
      </c>
      <c r="O203" s="288">
        <f>+AVERAGE($L$203:$N$203)</f>
        <v>5468.7036216666675</v>
      </c>
      <c r="P203" s="288">
        <f t="shared" ref="P203:U203" si="96">+AVERAGE($L$203:$N$203)</f>
        <v>5468.7036216666675</v>
      </c>
      <c r="Q203" s="288">
        <f t="shared" si="96"/>
        <v>5468.7036216666675</v>
      </c>
      <c r="R203" s="288">
        <f t="shared" si="96"/>
        <v>5468.7036216666675</v>
      </c>
      <c r="S203" s="288">
        <f t="shared" si="96"/>
        <v>5468.7036216666675</v>
      </c>
      <c r="T203" s="288">
        <f t="shared" si="96"/>
        <v>5468.7036216666675</v>
      </c>
      <c r="U203" s="288">
        <f t="shared" si="96"/>
        <v>5468.7036216666675</v>
      </c>
      <c r="V203" s="321"/>
      <c r="W203" s="321"/>
      <c r="X203" s="321"/>
      <c r="Y203" s="321"/>
      <c r="Z203" s="321"/>
      <c r="AA203" s="321"/>
      <c r="AB203" s="317"/>
    </row>
    <row r="204" spans="2:28" x14ac:dyDescent="0.3">
      <c r="B204" s="284" t="s">
        <v>79</v>
      </c>
      <c r="C204" s="318">
        <v>2007</v>
      </c>
      <c r="D204" s="286">
        <v>2</v>
      </c>
      <c r="E204" s="319"/>
      <c r="F204" s="320">
        <f>+[16]OM_EF_2017!G34</f>
        <v>0.53565738803214413</v>
      </c>
      <c r="G204" s="288">
        <v>2147.3923148100002</v>
      </c>
      <c r="H204" s="288">
        <v>6196.9345160000003</v>
      </c>
      <c r="I204" s="288">
        <v>11548.431087550014</v>
      </c>
      <c r="J204" s="288">
        <v>11349.074575000001</v>
      </c>
      <c r="K204" s="288">
        <v>9975.9341299999905</v>
      </c>
      <c r="L204" s="288">
        <v>7073.2160740378231</v>
      </c>
      <c r="M204" s="288">
        <v>0</v>
      </c>
      <c r="N204" s="288">
        <v>0</v>
      </c>
      <c r="O204" s="288">
        <v>0</v>
      </c>
      <c r="P204" s="288">
        <f t="shared" ref="P204:U206" si="97">+O204</f>
        <v>0</v>
      </c>
      <c r="Q204" s="288">
        <f t="shared" si="97"/>
        <v>0</v>
      </c>
      <c r="R204" s="288">
        <f t="shared" si="97"/>
        <v>0</v>
      </c>
      <c r="S204" s="288">
        <f t="shared" si="97"/>
        <v>0</v>
      </c>
      <c r="T204" s="288">
        <f t="shared" si="97"/>
        <v>0</v>
      </c>
      <c r="U204" s="288">
        <f t="shared" si="97"/>
        <v>0</v>
      </c>
      <c r="V204" s="288"/>
      <c r="W204" s="288"/>
      <c r="X204" s="288"/>
      <c r="Y204" s="288"/>
      <c r="Z204" s="288"/>
      <c r="AA204" s="288"/>
      <c r="AB204" s="317"/>
    </row>
    <row r="205" spans="2:28" x14ac:dyDescent="0.3">
      <c r="B205" s="284" t="s">
        <v>80</v>
      </c>
      <c r="C205" s="318">
        <v>2008</v>
      </c>
      <c r="D205" s="286">
        <v>2</v>
      </c>
      <c r="E205" s="319"/>
      <c r="F205" s="320">
        <f>+[16]OM_EF_2017!G35</f>
        <v>0.53565738803214413</v>
      </c>
      <c r="G205" s="288">
        <v>8526.9006409999947</v>
      </c>
      <c r="H205" s="288">
        <v>8851.2839679999997</v>
      </c>
      <c r="I205" s="288">
        <v>10087.290187999994</v>
      </c>
      <c r="J205" s="288">
        <v>9758.3664000000153</v>
      </c>
      <c r="K205" s="288">
        <v>4970.5611999999865</v>
      </c>
      <c r="L205" s="288">
        <v>5371.6201999999894</v>
      </c>
      <c r="M205" s="288">
        <v>0</v>
      </c>
      <c r="N205" s="288">
        <v>0</v>
      </c>
      <c r="O205" s="288">
        <v>0</v>
      </c>
      <c r="P205" s="288">
        <f t="shared" si="97"/>
        <v>0</v>
      </c>
      <c r="Q205" s="288">
        <f t="shared" si="97"/>
        <v>0</v>
      </c>
      <c r="R205" s="288">
        <f t="shared" si="97"/>
        <v>0</v>
      </c>
      <c r="S205" s="288">
        <f t="shared" si="97"/>
        <v>0</v>
      </c>
      <c r="T205" s="288">
        <f t="shared" si="97"/>
        <v>0</v>
      </c>
      <c r="U205" s="288">
        <f t="shared" si="97"/>
        <v>0</v>
      </c>
      <c r="V205" s="288"/>
      <c r="W205" s="288"/>
      <c r="X205" s="288"/>
      <c r="Y205" s="288"/>
      <c r="Z205" s="288"/>
      <c r="AA205" s="288"/>
      <c r="AB205" s="317"/>
    </row>
    <row r="206" spans="2:28" x14ac:dyDescent="0.3">
      <c r="B206" s="284" t="s">
        <v>81</v>
      </c>
      <c r="C206" s="318">
        <v>2008</v>
      </c>
      <c r="D206" s="286">
        <v>2</v>
      </c>
      <c r="E206" s="319"/>
      <c r="F206" s="320">
        <f>+[16]OM_EF_2017!G36</f>
        <v>0.53565738803214413</v>
      </c>
      <c r="G206" s="323">
        <v>7797.8255404000083</v>
      </c>
      <c r="H206" s="323">
        <v>10123.336069999999</v>
      </c>
      <c r="I206" s="323">
        <v>9538.6528150000031</v>
      </c>
      <c r="J206" s="323">
        <v>2570.0208000000066</v>
      </c>
      <c r="K206" s="323">
        <v>7007.9093999999996</v>
      </c>
      <c r="L206" s="288">
        <v>0</v>
      </c>
      <c r="M206" s="288">
        <v>0</v>
      </c>
      <c r="N206" s="288">
        <v>0</v>
      </c>
      <c r="O206" s="288">
        <f t="shared" si="91"/>
        <v>0</v>
      </c>
      <c r="P206" s="288">
        <f t="shared" si="97"/>
        <v>0</v>
      </c>
      <c r="Q206" s="288">
        <f t="shared" si="97"/>
        <v>0</v>
      </c>
      <c r="R206" s="288">
        <f t="shared" si="97"/>
        <v>0</v>
      </c>
      <c r="S206" s="288">
        <f t="shared" si="97"/>
        <v>0</v>
      </c>
      <c r="T206" s="288">
        <f t="shared" si="97"/>
        <v>0</v>
      </c>
      <c r="U206" s="288">
        <f t="shared" si="97"/>
        <v>0</v>
      </c>
      <c r="V206" s="288"/>
      <c r="W206" s="288"/>
      <c r="X206" s="288"/>
      <c r="Y206" s="288"/>
      <c r="Z206" s="288"/>
      <c r="AA206" s="288"/>
      <c r="AB206" s="317"/>
    </row>
    <row r="207" spans="2:28" x14ac:dyDescent="0.3">
      <c r="B207" s="284" t="s">
        <v>82</v>
      </c>
      <c r="C207" s="318">
        <v>2008</v>
      </c>
      <c r="D207" s="286">
        <v>2</v>
      </c>
      <c r="E207" s="319"/>
      <c r="F207" s="320">
        <f>+[16]OM_EF_2017!G37</f>
        <v>0.53565738803214413</v>
      </c>
      <c r="G207" s="288">
        <v>0</v>
      </c>
      <c r="H207" s="288">
        <v>4892.938408</v>
      </c>
      <c r="I207" s="288">
        <v>11580.990529000033</v>
      </c>
      <c r="J207" s="288">
        <v>10493.689199999977</v>
      </c>
      <c r="K207" s="288">
        <v>9947.2014000000054</v>
      </c>
      <c r="L207" s="323">
        <v>7564.2671999999584</v>
      </c>
      <c r="M207" s="288">
        <v>8339.7395999998589</v>
      </c>
      <c r="N207" s="288">
        <v>474.07699999999943</v>
      </c>
      <c r="O207" s="288">
        <f>+AVERAGE($L$207:$N$207)</f>
        <v>5459.3612666666058</v>
      </c>
      <c r="P207" s="288">
        <f t="shared" ref="P207:U207" si="98">+AVERAGE($L$207:$N$207)</f>
        <v>5459.3612666666058</v>
      </c>
      <c r="Q207" s="288">
        <f t="shared" si="98"/>
        <v>5459.3612666666058</v>
      </c>
      <c r="R207" s="288">
        <f t="shared" si="98"/>
        <v>5459.3612666666058</v>
      </c>
      <c r="S207" s="288">
        <f t="shared" si="98"/>
        <v>5459.3612666666058</v>
      </c>
      <c r="T207" s="288">
        <f t="shared" si="98"/>
        <v>5459.3612666666058</v>
      </c>
      <c r="U207" s="288">
        <f t="shared" si="98"/>
        <v>5459.3612666666058</v>
      </c>
      <c r="V207" s="321"/>
      <c r="W207" s="321"/>
      <c r="X207" s="321"/>
      <c r="Y207" s="321"/>
      <c r="Z207" s="321"/>
      <c r="AA207" s="321"/>
      <c r="AB207" s="317"/>
    </row>
    <row r="208" spans="2:28" x14ac:dyDescent="0.3">
      <c r="B208" s="281" t="s">
        <v>228</v>
      </c>
      <c r="C208" s="324"/>
      <c r="D208" s="282"/>
      <c r="E208" s="282"/>
      <c r="F208" s="316"/>
      <c r="G208" s="283"/>
      <c r="H208" s="283"/>
      <c r="I208" s="283"/>
      <c r="J208" s="283"/>
      <c r="K208" s="283"/>
      <c r="L208" s="283"/>
      <c r="M208" s="283"/>
      <c r="N208" s="283"/>
      <c r="O208" s="283"/>
      <c r="P208" s="283"/>
      <c r="Q208" s="283"/>
      <c r="R208" s="283"/>
      <c r="S208" s="283"/>
      <c r="T208" s="283"/>
      <c r="U208" s="283"/>
      <c r="V208" s="283"/>
      <c r="W208" s="283"/>
      <c r="X208" s="283"/>
      <c r="Y208" s="283"/>
      <c r="Z208" s="283"/>
      <c r="AA208" s="283"/>
      <c r="AB208" s="317"/>
    </row>
    <row r="209" spans="2:28" x14ac:dyDescent="0.3">
      <c r="B209" s="284" t="s">
        <v>229</v>
      </c>
      <c r="C209" s="318">
        <v>2000</v>
      </c>
      <c r="D209" s="286">
        <v>45</v>
      </c>
      <c r="E209" s="319"/>
      <c r="F209" s="320">
        <f>+[16]OM_EF_2017!G39</f>
        <v>0.53293470959573763</v>
      </c>
      <c r="G209" s="288">
        <v>320717</v>
      </c>
      <c r="H209" s="288">
        <v>327166</v>
      </c>
      <c r="I209" s="288">
        <v>106480</v>
      </c>
      <c r="J209" s="288">
        <v>287973.53399999999</v>
      </c>
      <c r="K209" s="288">
        <v>269807.61800000013</v>
      </c>
      <c r="L209" s="288">
        <v>253280.23099999985</v>
      </c>
      <c r="M209" s="288">
        <v>223504.63100000005</v>
      </c>
      <c r="N209" s="288">
        <v>237695.82099999994</v>
      </c>
      <c r="O209" s="288">
        <f>+AVERAGE($L$209:$N$209)</f>
        <v>238160.22766666661</v>
      </c>
      <c r="P209" s="288">
        <f t="shared" ref="P209:U209" si="99">+AVERAGE($L$209:$N$209)</f>
        <v>238160.22766666661</v>
      </c>
      <c r="Q209" s="288">
        <f t="shared" si="99"/>
        <v>238160.22766666661</v>
      </c>
      <c r="R209" s="288">
        <f t="shared" si="99"/>
        <v>238160.22766666661</v>
      </c>
      <c r="S209" s="288">
        <f t="shared" si="99"/>
        <v>238160.22766666661</v>
      </c>
      <c r="T209" s="288">
        <f t="shared" si="99"/>
        <v>238160.22766666661</v>
      </c>
      <c r="U209" s="288">
        <f t="shared" si="99"/>
        <v>238160.22766666661</v>
      </c>
      <c r="V209" s="321"/>
      <c r="W209" s="321"/>
      <c r="X209" s="321"/>
      <c r="Y209" s="321"/>
      <c r="Z209" s="321"/>
      <c r="AA209" s="321"/>
      <c r="AB209" s="317"/>
    </row>
    <row r="210" spans="2:28" x14ac:dyDescent="0.3">
      <c r="B210" s="284" t="s">
        <v>230</v>
      </c>
      <c r="C210" s="318">
        <v>2000</v>
      </c>
      <c r="D210" s="286">
        <v>45</v>
      </c>
      <c r="E210" s="319"/>
      <c r="F210" s="320">
        <f>+[16]OM_EF_2017!G40</f>
        <v>0.53630846331041515</v>
      </c>
      <c r="G210" s="288">
        <v>331746</v>
      </c>
      <c r="H210" s="288">
        <v>326073</v>
      </c>
      <c r="I210" s="288">
        <v>289542</v>
      </c>
      <c r="J210" s="288">
        <v>202260.81000000006</v>
      </c>
      <c r="K210" s="288">
        <v>173568.66000000032</v>
      </c>
      <c r="L210" s="288">
        <v>33037.908999999891</v>
      </c>
      <c r="M210" s="288">
        <v>15850.489000000001</v>
      </c>
      <c r="N210" s="288">
        <v>77027.985999999757</v>
      </c>
      <c r="O210" s="288">
        <f>+AVERAGE($L$210:$N$210)</f>
        <v>41972.127999999881</v>
      </c>
      <c r="P210" s="288">
        <f t="shared" ref="P210:U210" si="100">+AVERAGE($L$210:$N$210)</f>
        <v>41972.127999999881</v>
      </c>
      <c r="Q210" s="288">
        <f t="shared" si="100"/>
        <v>41972.127999999881</v>
      </c>
      <c r="R210" s="288">
        <f t="shared" si="100"/>
        <v>41972.127999999881</v>
      </c>
      <c r="S210" s="288">
        <f t="shared" si="100"/>
        <v>41972.127999999881</v>
      </c>
      <c r="T210" s="288">
        <f t="shared" si="100"/>
        <v>41972.127999999881</v>
      </c>
      <c r="U210" s="288">
        <f t="shared" si="100"/>
        <v>41972.127999999881</v>
      </c>
      <c r="V210" s="321"/>
      <c r="W210" s="321"/>
      <c r="X210" s="321"/>
      <c r="Y210" s="321"/>
      <c r="Z210" s="321"/>
      <c r="AA210" s="321"/>
      <c r="AB210" s="317"/>
    </row>
    <row r="211" spans="2:28" x14ac:dyDescent="0.3">
      <c r="B211" s="284" t="s">
        <v>231</v>
      </c>
      <c r="C211" s="318">
        <v>2014</v>
      </c>
      <c r="D211" s="286">
        <v>49.02</v>
      </c>
      <c r="E211" s="319"/>
      <c r="F211" s="320">
        <f>+[16]OM_EF_2017!G41</f>
        <v>0.52168886388014557</v>
      </c>
      <c r="G211" s="288"/>
      <c r="H211" s="288"/>
      <c r="I211" s="288"/>
      <c r="J211" s="288"/>
      <c r="K211" s="288">
        <v>265758.58129</v>
      </c>
      <c r="L211" s="288">
        <v>313954.44199999998</v>
      </c>
      <c r="M211" s="288">
        <v>125500.57599999997</v>
      </c>
      <c r="N211" s="288">
        <v>239710.45899999986</v>
      </c>
      <c r="O211" s="288">
        <f>+AVERAGE($L$211:$N$211)</f>
        <v>226388.49233333324</v>
      </c>
      <c r="P211" s="288">
        <f t="shared" ref="P211:U211" si="101">+AVERAGE($L$211:$N$211)</f>
        <v>226388.49233333324</v>
      </c>
      <c r="Q211" s="288">
        <f t="shared" si="101"/>
        <v>226388.49233333324</v>
      </c>
      <c r="R211" s="288">
        <f t="shared" si="101"/>
        <v>226388.49233333324</v>
      </c>
      <c r="S211" s="288">
        <f t="shared" si="101"/>
        <v>226388.49233333324</v>
      </c>
      <c r="T211" s="288">
        <f t="shared" si="101"/>
        <v>226388.49233333324</v>
      </c>
      <c r="U211" s="288">
        <f t="shared" si="101"/>
        <v>226388.49233333324</v>
      </c>
      <c r="V211" s="321"/>
      <c r="W211" s="321"/>
      <c r="X211" s="321"/>
      <c r="Y211" s="321"/>
      <c r="Z211" s="321"/>
      <c r="AA211" s="321"/>
      <c r="AB211" s="317"/>
    </row>
    <row r="212" spans="2:28" x14ac:dyDescent="0.3">
      <c r="B212" s="281" t="s">
        <v>161</v>
      </c>
      <c r="C212" s="324"/>
      <c r="D212" s="282"/>
      <c r="E212" s="282"/>
      <c r="F212" s="316">
        <f>+[16]OM_EF_2017!G42</f>
        <v>0.60672648117717065</v>
      </c>
      <c r="G212" s="325">
        <v>743118.82019999996</v>
      </c>
      <c r="H212" s="325">
        <v>609577.55848999997</v>
      </c>
      <c r="I212" s="325">
        <v>772580.19999999972</v>
      </c>
      <c r="J212" s="325">
        <v>667630.60999999987</v>
      </c>
      <c r="K212" s="325">
        <v>815783.94000000006</v>
      </c>
      <c r="L212" s="325">
        <v>516330.15</v>
      </c>
      <c r="M212" s="325">
        <v>440398.8600000001</v>
      </c>
      <c r="N212" s="325">
        <v>552699.28999999992</v>
      </c>
      <c r="O212" s="325">
        <f>+AVERAGE($L$212:$N$212)</f>
        <v>503142.76666666666</v>
      </c>
      <c r="P212" s="325">
        <f t="shared" ref="P212:U212" si="102">+AVERAGE($L$212:$N$212)</f>
        <v>503142.76666666666</v>
      </c>
      <c r="Q212" s="325">
        <f t="shared" si="102"/>
        <v>503142.76666666666</v>
      </c>
      <c r="R212" s="325">
        <f t="shared" si="102"/>
        <v>503142.76666666666</v>
      </c>
      <c r="S212" s="325">
        <f t="shared" si="102"/>
        <v>503142.76666666666</v>
      </c>
      <c r="T212" s="325">
        <f t="shared" si="102"/>
        <v>503142.76666666666</v>
      </c>
      <c r="U212" s="325">
        <f t="shared" si="102"/>
        <v>503142.76666666666</v>
      </c>
      <c r="V212" s="326"/>
      <c r="W212" s="326"/>
      <c r="X212" s="326"/>
      <c r="Y212" s="326"/>
      <c r="Z212" s="326"/>
      <c r="AA212" s="326"/>
      <c r="AB212" s="317"/>
    </row>
    <row r="213" spans="2:28" x14ac:dyDescent="0.3">
      <c r="B213" s="284" t="s">
        <v>232</v>
      </c>
      <c r="C213" s="318">
        <v>1996</v>
      </c>
      <c r="D213" s="286">
        <v>56</v>
      </c>
      <c r="E213" s="319"/>
      <c r="F213" s="320">
        <f>+[16]OM_EF_2017!G43</f>
        <v>0.59295201252000207</v>
      </c>
      <c r="G213" s="327"/>
      <c r="H213" s="327"/>
      <c r="I213" s="327"/>
      <c r="J213" s="327"/>
      <c r="K213" s="327"/>
      <c r="L213" s="327"/>
      <c r="M213" s="327"/>
      <c r="N213" s="327"/>
      <c r="O213" s="327"/>
      <c r="P213" s="327"/>
      <c r="Q213" s="327"/>
      <c r="R213" s="327"/>
      <c r="S213" s="327"/>
      <c r="T213" s="327"/>
      <c r="U213" s="327"/>
      <c r="V213" s="327"/>
      <c r="W213" s="327"/>
      <c r="X213" s="327"/>
      <c r="Y213" s="327"/>
      <c r="Z213" s="327"/>
      <c r="AA213" s="327"/>
      <c r="AB213" s="317"/>
    </row>
    <row r="214" spans="2:28" x14ac:dyDescent="0.3">
      <c r="B214" s="284" t="s">
        <v>233</v>
      </c>
      <c r="C214" s="318">
        <v>1996</v>
      </c>
      <c r="D214" s="286">
        <v>56</v>
      </c>
      <c r="E214" s="319"/>
      <c r="F214" s="320">
        <f>+[16]OM_EF_2017!G44</f>
        <v>0.64048050783379351</v>
      </c>
      <c r="G214" s="328"/>
      <c r="H214" s="323"/>
      <c r="I214" s="328"/>
      <c r="J214" s="328"/>
      <c r="K214" s="328"/>
      <c r="L214" s="328"/>
      <c r="M214" s="328"/>
      <c r="N214" s="328"/>
      <c r="O214" s="328"/>
      <c r="P214" s="328"/>
      <c r="Q214" s="328"/>
      <c r="R214" s="328"/>
      <c r="S214" s="328"/>
      <c r="T214" s="328"/>
      <c r="U214" s="328"/>
      <c r="V214" s="328"/>
      <c r="W214" s="328"/>
      <c r="X214" s="328"/>
      <c r="Y214" s="328"/>
      <c r="Z214" s="328"/>
      <c r="AA214" s="328"/>
      <c r="AB214" s="317"/>
    </row>
    <row r="215" spans="2:28" x14ac:dyDescent="0.3">
      <c r="B215" s="284" t="s">
        <v>234</v>
      </c>
      <c r="C215" s="318"/>
      <c r="D215" s="286">
        <v>24.4</v>
      </c>
      <c r="E215" s="319"/>
      <c r="F215" s="320">
        <f>+[16]OM_EF_2017!G45</f>
        <v>0.56087175789973454</v>
      </c>
      <c r="G215" s="323"/>
      <c r="H215" s="323">
        <v>7408.7086380000001</v>
      </c>
      <c r="I215" s="323"/>
      <c r="J215" s="323"/>
      <c r="K215" s="323"/>
      <c r="L215" s="323"/>
      <c r="M215" s="323"/>
      <c r="N215" s="323"/>
      <c r="O215" s="323"/>
      <c r="P215" s="323"/>
      <c r="Q215" s="323"/>
      <c r="R215" s="323"/>
      <c r="S215" s="323"/>
      <c r="T215" s="323"/>
      <c r="U215" s="323"/>
      <c r="V215" s="323"/>
      <c r="W215" s="323"/>
      <c r="X215" s="323"/>
      <c r="Y215" s="323"/>
      <c r="Z215" s="323"/>
      <c r="AA215" s="323"/>
      <c r="AB215" s="317"/>
    </row>
    <row r="216" spans="2:28" x14ac:dyDescent="0.3">
      <c r="B216" s="281" t="s">
        <v>145</v>
      </c>
      <c r="C216" s="324"/>
      <c r="D216" s="329"/>
      <c r="E216" s="282"/>
      <c r="F216" s="316"/>
      <c r="G216" s="325"/>
      <c r="H216" s="325"/>
      <c r="I216" s="325"/>
      <c r="J216" s="325"/>
      <c r="K216" s="325"/>
      <c r="L216" s="325"/>
      <c r="M216" s="325"/>
      <c r="N216" s="325"/>
      <c r="O216" s="325"/>
      <c r="P216" s="325"/>
      <c r="Q216" s="325"/>
      <c r="R216" s="325"/>
      <c r="S216" s="325"/>
      <c r="T216" s="325"/>
      <c r="U216" s="325"/>
      <c r="V216" s="325"/>
      <c r="W216" s="325"/>
      <c r="X216" s="325"/>
      <c r="Y216" s="325"/>
      <c r="Z216" s="325"/>
      <c r="AA216" s="325"/>
      <c r="AB216" s="317"/>
    </row>
    <row r="217" spans="2:28" x14ac:dyDescent="0.3">
      <c r="B217" s="284" t="s">
        <v>87</v>
      </c>
      <c r="C217" s="318">
        <v>2010</v>
      </c>
      <c r="D217" s="286">
        <v>23</v>
      </c>
      <c r="E217" s="319"/>
      <c r="F217" s="320">
        <f>+[16]OM_EF_2017!G47</f>
        <v>0.59224174858007006</v>
      </c>
      <c r="G217" s="323">
        <v>94768</v>
      </c>
      <c r="H217" s="323">
        <v>186730</v>
      </c>
      <c r="I217" s="323">
        <v>193238</v>
      </c>
      <c r="J217" s="323">
        <v>176801</v>
      </c>
      <c r="K217" s="323">
        <v>173128</v>
      </c>
      <c r="L217" s="323">
        <v>75240</v>
      </c>
      <c r="M217" s="323">
        <v>152450</v>
      </c>
      <c r="N217" s="323">
        <v>36192</v>
      </c>
      <c r="O217" s="288">
        <f>+AVERAGE($L$217:$N$217)</f>
        <v>87960.666666666672</v>
      </c>
      <c r="P217" s="288">
        <f t="shared" ref="P217:U217" si="103">+AVERAGE($L$217:$N$217)</f>
        <v>87960.666666666672</v>
      </c>
      <c r="Q217" s="288">
        <f t="shared" si="103"/>
        <v>87960.666666666672</v>
      </c>
      <c r="R217" s="288">
        <f t="shared" si="103"/>
        <v>87960.666666666672</v>
      </c>
      <c r="S217" s="288">
        <f t="shared" si="103"/>
        <v>87960.666666666672</v>
      </c>
      <c r="T217" s="288">
        <f t="shared" si="103"/>
        <v>87960.666666666672</v>
      </c>
      <c r="U217" s="288">
        <f t="shared" si="103"/>
        <v>87960.666666666672</v>
      </c>
      <c r="V217" s="321"/>
      <c r="W217" s="321"/>
      <c r="X217" s="321"/>
      <c r="Y217" s="321"/>
      <c r="Z217" s="321"/>
      <c r="AA217" s="321"/>
      <c r="AB217" s="317"/>
    </row>
    <row r="218" spans="2:28" x14ac:dyDescent="0.3">
      <c r="B218" s="284" t="s">
        <v>88</v>
      </c>
      <c r="C218" s="318">
        <v>2010</v>
      </c>
      <c r="D218" s="286">
        <v>23</v>
      </c>
      <c r="E218" s="319"/>
      <c r="F218" s="320">
        <f>+[16]OM_EF_2017!G48</f>
        <v>0.59170905062512091</v>
      </c>
      <c r="G218" s="323">
        <v>123773.2823375</v>
      </c>
      <c r="H218" s="323">
        <v>193364</v>
      </c>
      <c r="I218" s="323">
        <v>193432</v>
      </c>
      <c r="J218" s="323">
        <v>175773</v>
      </c>
      <c r="K218" s="323">
        <v>165138</v>
      </c>
      <c r="L218" s="323">
        <v>85293</v>
      </c>
      <c r="M218" s="323">
        <v>168623</v>
      </c>
      <c r="N218" s="323">
        <v>52744</v>
      </c>
      <c r="O218" s="288">
        <f>+AVERAGE($L$218:$N$218)</f>
        <v>102220</v>
      </c>
      <c r="P218" s="288">
        <f t="shared" ref="P218:U218" si="104">+AVERAGE($L$218:$N$218)</f>
        <v>102220</v>
      </c>
      <c r="Q218" s="288">
        <f t="shared" si="104"/>
        <v>102220</v>
      </c>
      <c r="R218" s="288">
        <f t="shared" si="104"/>
        <v>102220</v>
      </c>
      <c r="S218" s="288">
        <f t="shared" si="104"/>
        <v>102220</v>
      </c>
      <c r="T218" s="288">
        <f t="shared" si="104"/>
        <v>102220</v>
      </c>
      <c r="U218" s="288">
        <f t="shared" si="104"/>
        <v>102220</v>
      </c>
      <c r="V218" s="321"/>
      <c r="W218" s="321"/>
      <c r="X218" s="321"/>
      <c r="Y218" s="321"/>
      <c r="Z218" s="321"/>
      <c r="AA218" s="321"/>
      <c r="AB218" s="317"/>
    </row>
    <row r="219" spans="2:28" x14ac:dyDescent="0.3">
      <c r="B219" s="284" t="s">
        <v>89</v>
      </c>
      <c r="C219" s="318">
        <v>2010</v>
      </c>
      <c r="D219" s="286">
        <v>25</v>
      </c>
      <c r="E219" s="319"/>
      <c r="F219" s="320">
        <f>+[16]OM_EF_2017!G49</f>
        <v>0.59176823928678191</v>
      </c>
      <c r="G219" s="323">
        <v>109541.1267625</v>
      </c>
      <c r="H219" s="323">
        <v>170825</v>
      </c>
      <c r="I219" s="323">
        <v>196674</v>
      </c>
      <c r="J219" s="323">
        <v>195325</v>
      </c>
      <c r="K219" s="323">
        <v>173443</v>
      </c>
      <c r="L219" s="323">
        <v>74301</v>
      </c>
      <c r="M219" s="323">
        <v>182321</v>
      </c>
      <c r="N219" s="323">
        <v>60409</v>
      </c>
      <c r="O219" s="288">
        <f>+AVERAGE($L$219:$N$219)</f>
        <v>105677</v>
      </c>
      <c r="P219" s="288">
        <f t="shared" ref="P219:U219" si="105">+AVERAGE($L$219:$N$219)</f>
        <v>105677</v>
      </c>
      <c r="Q219" s="288">
        <f t="shared" si="105"/>
        <v>105677</v>
      </c>
      <c r="R219" s="288">
        <f t="shared" si="105"/>
        <v>105677</v>
      </c>
      <c r="S219" s="288">
        <f t="shared" si="105"/>
        <v>105677</v>
      </c>
      <c r="T219" s="288">
        <f t="shared" si="105"/>
        <v>105677</v>
      </c>
      <c r="U219" s="288">
        <f t="shared" si="105"/>
        <v>105677</v>
      </c>
      <c r="V219" s="321"/>
      <c r="W219" s="321"/>
      <c r="X219" s="321"/>
      <c r="Y219" s="321"/>
      <c r="Z219" s="321"/>
      <c r="AA219" s="321"/>
      <c r="AB219" s="317"/>
    </row>
    <row r="220" spans="2:28" x14ac:dyDescent="0.3">
      <c r="B220" s="284" t="s">
        <v>90</v>
      </c>
      <c r="C220" s="318">
        <v>2010</v>
      </c>
      <c r="D220" s="286">
        <v>25</v>
      </c>
      <c r="E220" s="319"/>
      <c r="F220" s="320">
        <f>+[16]OM_EF_2017!G50</f>
        <v>0.59703603017461182</v>
      </c>
      <c r="G220" s="323">
        <v>77401.001000000004</v>
      </c>
      <c r="H220" s="323">
        <v>187411</v>
      </c>
      <c r="I220" s="323">
        <v>183871</v>
      </c>
      <c r="J220" s="323">
        <v>186743</v>
      </c>
      <c r="K220" s="323">
        <v>193663</v>
      </c>
      <c r="L220" s="323">
        <v>89367</v>
      </c>
      <c r="M220" s="323">
        <v>182872</v>
      </c>
      <c r="N220" s="323">
        <v>46175</v>
      </c>
      <c r="O220" s="288">
        <f>+AVERAGE($L$220:$N$220)</f>
        <v>106138</v>
      </c>
      <c r="P220" s="288">
        <f t="shared" ref="P220:U220" si="106">+AVERAGE($L$220:$N$220)</f>
        <v>106138</v>
      </c>
      <c r="Q220" s="288">
        <f t="shared" si="106"/>
        <v>106138</v>
      </c>
      <c r="R220" s="288">
        <f t="shared" si="106"/>
        <v>106138</v>
      </c>
      <c r="S220" s="288">
        <f t="shared" si="106"/>
        <v>106138</v>
      </c>
      <c r="T220" s="288">
        <f t="shared" si="106"/>
        <v>106138</v>
      </c>
      <c r="U220" s="288">
        <f t="shared" si="106"/>
        <v>106138</v>
      </c>
      <c r="V220" s="321"/>
      <c r="W220" s="321"/>
      <c r="X220" s="321"/>
      <c r="Y220" s="321"/>
      <c r="Z220" s="321"/>
      <c r="AA220" s="321"/>
      <c r="AB220" s="317"/>
    </row>
    <row r="221" spans="2:28" x14ac:dyDescent="0.3">
      <c r="B221" s="281" t="s">
        <v>159</v>
      </c>
      <c r="C221" s="324"/>
      <c r="D221" s="329"/>
      <c r="E221" s="282"/>
      <c r="F221" s="316"/>
      <c r="G221" s="283"/>
      <c r="H221" s="283"/>
      <c r="I221" s="283"/>
      <c r="J221" s="283"/>
      <c r="K221" s="283"/>
      <c r="L221" s="283"/>
      <c r="M221" s="283"/>
      <c r="N221" s="283"/>
      <c r="O221" s="283"/>
      <c r="P221" s="283"/>
      <c r="Q221" s="283"/>
      <c r="R221" s="283"/>
      <c r="S221" s="283"/>
      <c r="T221" s="283"/>
      <c r="U221" s="283"/>
      <c r="V221" s="283"/>
      <c r="W221" s="283"/>
      <c r="X221" s="283"/>
      <c r="Y221" s="283"/>
      <c r="Z221" s="283"/>
      <c r="AA221" s="283"/>
      <c r="AB221" s="317"/>
    </row>
    <row r="222" spans="2:28" x14ac:dyDescent="0.3">
      <c r="B222" s="284" t="s">
        <v>235</v>
      </c>
      <c r="C222" s="318">
        <v>1975</v>
      </c>
      <c r="D222" s="286">
        <v>22</v>
      </c>
      <c r="E222" s="319"/>
      <c r="F222" s="320">
        <f>+[16]OM_EF_2017!G52</f>
        <v>0.70854746874395536</v>
      </c>
      <c r="G222" s="288">
        <v>54977.579999999987</v>
      </c>
      <c r="H222" s="288">
        <v>31424.37</v>
      </c>
      <c r="I222" s="288">
        <v>44186.280000000006</v>
      </c>
      <c r="J222" s="288">
        <v>6585.9599999999991</v>
      </c>
      <c r="K222" s="288">
        <v>15638.4</v>
      </c>
      <c r="L222" s="288">
        <v>14091.300000000003</v>
      </c>
      <c r="M222" s="288">
        <v>42919.199999999997</v>
      </c>
      <c r="N222" s="288">
        <v>41459.700000000004</v>
      </c>
      <c r="O222" s="288">
        <f>+AVERAGE($L$222:$N$222)</f>
        <v>32823.4</v>
      </c>
      <c r="P222" s="288">
        <f t="shared" ref="P222" si="107">+AVERAGE($L$222:$N$222)</f>
        <v>32823.4</v>
      </c>
      <c r="Q222" s="321"/>
      <c r="R222" s="321"/>
      <c r="S222" s="321"/>
      <c r="T222" s="321"/>
      <c r="U222" s="321"/>
      <c r="V222" s="321"/>
      <c r="W222" s="321"/>
      <c r="X222" s="321"/>
      <c r="Y222" s="321"/>
      <c r="Z222" s="321"/>
      <c r="AA222" s="321"/>
      <c r="AB222" s="317"/>
    </row>
    <row r="223" spans="2:28" x14ac:dyDescent="0.3">
      <c r="B223" s="284" t="s">
        <v>236</v>
      </c>
      <c r="C223" s="318">
        <v>1977</v>
      </c>
      <c r="D223" s="286">
        <v>20</v>
      </c>
      <c r="E223" s="319"/>
      <c r="F223" s="320">
        <f>+[16]OM_EF_2017!G53</f>
        <v>0.74548119362042586</v>
      </c>
      <c r="G223" s="288">
        <v>44343.569999999992</v>
      </c>
      <c r="H223" s="288">
        <v>38362.5</v>
      </c>
      <c r="I223" s="288">
        <v>31007.909999999996</v>
      </c>
      <c r="J223" s="288">
        <v>4921.4399999999996</v>
      </c>
      <c r="K223" s="288">
        <v>14575.08</v>
      </c>
      <c r="L223" s="288">
        <v>10209.6</v>
      </c>
      <c r="M223" s="288">
        <v>28229.760000000002</v>
      </c>
      <c r="N223" s="288">
        <v>20603.039999999997</v>
      </c>
      <c r="O223" s="288">
        <f>+AVERAGE($L$223:$N$223)</f>
        <v>19680.8</v>
      </c>
      <c r="P223" s="288">
        <f t="shared" ref="P223" si="108">+AVERAGE($L$223:$N$223)</f>
        <v>19680.8</v>
      </c>
      <c r="Q223" s="321"/>
      <c r="R223" s="321"/>
      <c r="S223" s="321"/>
      <c r="T223" s="321"/>
      <c r="U223" s="321"/>
      <c r="V223" s="321"/>
      <c r="W223" s="321"/>
      <c r="X223" s="321"/>
      <c r="Y223" s="321"/>
      <c r="Z223" s="321"/>
      <c r="AA223" s="321"/>
      <c r="AB223" s="317"/>
    </row>
    <row r="224" spans="2:28" x14ac:dyDescent="0.3">
      <c r="B224" s="284" t="s">
        <v>237</v>
      </c>
      <c r="C224" s="318">
        <v>1980</v>
      </c>
      <c r="D224" s="286">
        <v>20</v>
      </c>
      <c r="E224" s="319"/>
      <c r="F224" s="320">
        <f>+[16]OM_EF_2017!G54</f>
        <v>0.75962728375740729</v>
      </c>
      <c r="G224" s="288">
        <v>35434.590000000004</v>
      </c>
      <c r="H224" s="288">
        <v>65185.067999999999</v>
      </c>
      <c r="I224" s="288">
        <v>40516.368000000002</v>
      </c>
      <c r="J224" s="288">
        <v>17730.18</v>
      </c>
      <c r="K224" s="288">
        <v>24451.464</v>
      </c>
      <c r="L224" s="288">
        <v>13814.243999999999</v>
      </c>
      <c r="M224" s="288">
        <v>43634.928000000007</v>
      </c>
      <c r="N224" s="288">
        <v>24144.995999999996</v>
      </c>
      <c r="O224" s="288">
        <f>AVERAGE($L$224:$N$224)</f>
        <v>27198.056</v>
      </c>
      <c r="P224" s="288">
        <f t="shared" ref="P224" si="109">AVERAGE($L$224:$N$224)</f>
        <v>27198.056</v>
      </c>
      <c r="Q224" s="321"/>
      <c r="R224" s="321"/>
      <c r="S224" s="321"/>
      <c r="T224" s="321"/>
      <c r="U224" s="321"/>
      <c r="V224" s="321"/>
      <c r="W224" s="321"/>
      <c r="X224" s="321"/>
      <c r="Y224" s="321"/>
      <c r="Z224" s="321"/>
      <c r="AA224" s="321"/>
      <c r="AB224" s="317"/>
    </row>
    <row r="225" spans="2:28" x14ac:dyDescent="0.3">
      <c r="B225" s="284" t="s">
        <v>238</v>
      </c>
      <c r="C225" s="318">
        <v>1988</v>
      </c>
      <c r="D225" s="286">
        <v>21</v>
      </c>
      <c r="E225" s="319"/>
      <c r="F225" s="320">
        <f>+[16]OM_EF_2017!G55</f>
        <v>0.74838143804181545</v>
      </c>
      <c r="G225" s="288">
        <v>47583.179999999993</v>
      </c>
      <c r="H225" s="288">
        <v>73021.77</v>
      </c>
      <c r="I225" s="288">
        <v>79926.345000000001</v>
      </c>
      <c r="J225" s="288">
        <v>32721.119999999995</v>
      </c>
      <c r="K225" s="288">
        <v>52400.755703329996</v>
      </c>
      <c r="L225" s="288">
        <v>49910.714999999997</v>
      </c>
      <c r="M225" s="288">
        <v>73438.604999999996</v>
      </c>
      <c r="N225" s="288">
        <v>47740.184999999998</v>
      </c>
      <c r="O225" s="288">
        <f>AVERAGE($L$225:$N$225)</f>
        <v>57029.834999999999</v>
      </c>
      <c r="P225" s="288">
        <f t="shared" ref="P225" si="110">AVERAGE($L$225:$N$225)</f>
        <v>57029.834999999999</v>
      </c>
      <c r="Q225" s="321"/>
      <c r="R225" s="321"/>
      <c r="S225" s="321"/>
      <c r="T225" s="321"/>
      <c r="U225" s="321"/>
      <c r="V225" s="321"/>
      <c r="W225" s="321"/>
      <c r="X225" s="321"/>
      <c r="Y225" s="321"/>
      <c r="Z225" s="321"/>
      <c r="AA225" s="321"/>
      <c r="AB225" s="317"/>
    </row>
    <row r="226" spans="2:28" x14ac:dyDescent="0.3">
      <c r="B226" s="284" t="s">
        <v>239</v>
      </c>
      <c r="C226" s="318"/>
      <c r="D226" s="286"/>
      <c r="E226" s="319"/>
      <c r="F226" s="320"/>
      <c r="G226" s="288">
        <v>0</v>
      </c>
      <c r="H226" s="288">
        <v>0</v>
      </c>
      <c r="I226" s="288">
        <v>0</v>
      </c>
      <c r="J226" s="288">
        <v>0</v>
      </c>
      <c r="K226" s="288">
        <v>0</v>
      </c>
      <c r="L226" s="288">
        <v>0</v>
      </c>
      <c r="M226" s="288">
        <v>0</v>
      </c>
      <c r="N226" s="288">
        <v>0</v>
      </c>
      <c r="O226" s="288">
        <f t="shared" ref="O226:O243" si="111">+AVERAGE(L226:N226)</f>
        <v>0</v>
      </c>
      <c r="P226" s="288">
        <f t="shared" ref="P226:AA226" si="112">+O226</f>
        <v>0</v>
      </c>
      <c r="Q226" s="288">
        <f t="shared" si="112"/>
        <v>0</v>
      </c>
      <c r="R226" s="288">
        <f t="shared" si="112"/>
        <v>0</v>
      </c>
      <c r="S226" s="288">
        <f t="shared" si="112"/>
        <v>0</v>
      </c>
      <c r="T226" s="288">
        <f t="shared" si="112"/>
        <v>0</v>
      </c>
      <c r="U226" s="288">
        <f t="shared" si="112"/>
        <v>0</v>
      </c>
      <c r="V226" s="288">
        <f t="shared" si="112"/>
        <v>0</v>
      </c>
      <c r="W226" s="288">
        <f t="shared" si="112"/>
        <v>0</v>
      </c>
      <c r="X226" s="288">
        <f t="shared" si="112"/>
        <v>0</v>
      </c>
      <c r="Y226" s="288">
        <f t="shared" si="112"/>
        <v>0</v>
      </c>
      <c r="Z226" s="288">
        <f t="shared" si="112"/>
        <v>0</v>
      </c>
      <c r="AA226" s="288">
        <f t="shared" si="112"/>
        <v>0</v>
      </c>
      <c r="AB226" s="317"/>
    </row>
    <row r="227" spans="2:28" x14ac:dyDescent="0.3">
      <c r="B227" s="284" t="s">
        <v>240</v>
      </c>
      <c r="C227" s="318">
        <v>1999</v>
      </c>
      <c r="D227" s="286">
        <v>63</v>
      </c>
      <c r="E227" s="319"/>
      <c r="F227" s="320">
        <f>+[16]OM_EF_2017!G56</f>
        <v>0.59602982292637463</v>
      </c>
      <c r="G227" s="288">
        <v>0</v>
      </c>
      <c r="H227" s="288">
        <v>0</v>
      </c>
      <c r="I227" s="288">
        <v>345670.74</v>
      </c>
      <c r="J227" s="288">
        <v>479429.598</v>
      </c>
      <c r="K227" s="288">
        <v>420127.47135156026</v>
      </c>
      <c r="L227" s="288">
        <v>459226.69199999992</v>
      </c>
      <c r="M227" s="288">
        <v>240047.45999999993</v>
      </c>
      <c r="N227" s="288">
        <v>381288.42</v>
      </c>
      <c r="O227" s="288">
        <f>+AVERAGE($L$227:$N$227)</f>
        <v>360187.52399999998</v>
      </c>
      <c r="P227" s="288">
        <f t="shared" ref="P227:U227" si="113">+AVERAGE($L$227:$N$227)</f>
        <v>360187.52399999998</v>
      </c>
      <c r="Q227" s="288">
        <f t="shared" si="113"/>
        <v>360187.52399999998</v>
      </c>
      <c r="R227" s="288">
        <f t="shared" si="113"/>
        <v>360187.52399999998</v>
      </c>
      <c r="S227" s="288">
        <f t="shared" si="113"/>
        <v>360187.52399999998</v>
      </c>
      <c r="T227" s="288">
        <f t="shared" si="113"/>
        <v>360187.52399999998</v>
      </c>
      <c r="U227" s="288">
        <f t="shared" si="113"/>
        <v>360187.52399999998</v>
      </c>
      <c r="V227" s="321"/>
      <c r="W227" s="321"/>
      <c r="X227" s="321"/>
      <c r="Y227" s="321"/>
      <c r="Z227" s="321"/>
      <c r="AA227" s="321"/>
      <c r="AB227" s="317"/>
    </row>
    <row r="228" spans="2:28" x14ac:dyDescent="0.3">
      <c r="B228" s="284" t="s">
        <v>51</v>
      </c>
      <c r="C228" s="318">
        <v>1999</v>
      </c>
      <c r="D228" s="286">
        <v>63</v>
      </c>
      <c r="E228" s="319"/>
      <c r="F228" s="320">
        <f>+[16]OM_EF_2017!G57</f>
        <v>0.59602982292637463</v>
      </c>
      <c r="G228" s="288">
        <v>304167.35200000001</v>
      </c>
      <c r="H228" s="288">
        <v>362328.33600000001</v>
      </c>
      <c r="I228" s="288">
        <v>425317.902</v>
      </c>
      <c r="J228" s="288">
        <v>461289.34800000006</v>
      </c>
      <c r="K228" s="288">
        <v>412122.105063011</v>
      </c>
      <c r="L228" s="288">
        <v>378806.54399999999</v>
      </c>
      <c r="M228" s="288">
        <v>386168.79599999997</v>
      </c>
      <c r="N228" s="288">
        <v>365210.38799999998</v>
      </c>
      <c r="O228" s="288">
        <f>+AVERAGE($L$228:$N$228)</f>
        <v>376728.57599999994</v>
      </c>
      <c r="P228" s="288">
        <f t="shared" ref="P228:U228" si="114">+AVERAGE($L$228:$N$228)</f>
        <v>376728.57599999994</v>
      </c>
      <c r="Q228" s="288">
        <f t="shared" si="114"/>
        <v>376728.57599999994</v>
      </c>
      <c r="R228" s="288">
        <f t="shared" si="114"/>
        <v>376728.57599999994</v>
      </c>
      <c r="S228" s="288">
        <f t="shared" si="114"/>
        <v>376728.57599999994</v>
      </c>
      <c r="T228" s="288">
        <f t="shared" si="114"/>
        <v>376728.57599999994</v>
      </c>
      <c r="U228" s="288">
        <f t="shared" si="114"/>
        <v>376728.57599999994</v>
      </c>
      <c r="V228" s="321"/>
      <c r="W228" s="321"/>
      <c r="X228" s="321"/>
      <c r="Y228" s="321"/>
      <c r="Z228" s="321"/>
      <c r="AA228" s="321"/>
      <c r="AB228" s="317"/>
    </row>
    <row r="229" spans="2:28" x14ac:dyDescent="0.3">
      <c r="B229" s="284" t="s">
        <v>52</v>
      </c>
      <c r="C229" s="318">
        <v>2007</v>
      </c>
      <c r="D229" s="286">
        <v>63</v>
      </c>
      <c r="E229" s="319"/>
      <c r="F229" s="320">
        <f>+[16]OM_EF_2017!G58</f>
        <v>0.59602982292637463</v>
      </c>
      <c r="G229" s="288">
        <v>274064.72799999994</v>
      </c>
      <c r="H229" s="288">
        <v>328187.05200000003</v>
      </c>
      <c r="I229" s="288">
        <v>215762.25825000004</v>
      </c>
      <c r="J229" s="288">
        <v>201328.714125</v>
      </c>
      <c r="K229" s="288">
        <v>301526.55250000005</v>
      </c>
      <c r="L229" s="288">
        <v>234237.29225000003</v>
      </c>
      <c r="M229" s="288">
        <v>299524.30199999997</v>
      </c>
      <c r="N229" s="288">
        <v>149744.47925</v>
      </c>
      <c r="O229" s="288">
        <f>+AVERAGE($L$229:$N$229)</f>
        <v>227835.35783333331</v>
      </c>
      <c r="P229" s="288">
        <f t="shared" ref="P229:U229" si="115">+AVERAGE($L$229:$N$229)</f>
        <v>227835.35783333331</v>
      </c>
      <c r="Q229" s="288">
        <f t="shared" si="115"/>
        <v>227835.35783333331</v>
      </c>
      <c r="R229" s="288">
        <f t="shared" si="115"/>
        <v>227835.35783333331</v>
      </c>
      <c r="S229" s="288">
        <f t="shared" si="115"/>
        <v>227835.35783333331</v>
      </c>
      <c r="T229" s="288">
        <f t="shared" si="115"/>
        <v>227835.35783333331</v>
      </c>
      <c r="U229" s="288">
        <f t="shared" si="115"/>
        <v>227835.35783333331</v>
      </c>
      <c r="V229" s="321"/>
      <c r="W229" s="321"/>
      <c r="X229" s="321"/>
      <c r="Y229" s="321"/>
      <c r="Z229" s="321"/>
      <c r="AA229" s="321"/>
      <c r="AB229" s="317"/>
    </row>
    <row r="230" spans="2:28" x14ac:dyDescent="0.3">
      <c r="B230" s="284" t="s">
        <v>241</v>
      </c>
      <c r="C230" s="318">
        <v>2012</v>
      </c>
      <c r="D230" s="286">
        <v>96</v>
      </c>
      <c r="E230" s="319"/>
      <c r="F230" s="320">
        <f>+[16]OM_EF_2017!G59</f>
        <v>0.426809439237546</v>
      </c>
      <c r="G230" s="288">
        <v>386364.63308200007</v>
      </c>
      <c r="H230" s="288">
        <v>362853.24075</v>
      </c>
      <c r="I230" s="288">
        <v>369449.51400000002</v>
      </c>
      <c r="J230" s="288">
        <v>616226.28899999999</v>
      </c>
      <c r="K230" s="288">
        <v>523552.59600000002</v>
      </c>
      <c r="L230" s="288">
        <v>544179.25994216464</v>
      </c>
      <c r="M230" s="288">
        <v>222713.652</v>
      </c>
      <c r="N230" s="288">
        <v>361213.69200000004</v>
      </c>
      <c r="O230" s="288">
        <f t="shared" ref="O230:Y230" si="116">+AVERAGE($L$230:$N$230)</f>
        <v>376035.53464738821</v>
      </c>
      <c r="P230" s="288">
        <f t="shared" si="116"/>
        <v>376035.53464738821</v>
      </c>
      <c r="Q230" s="288">
        <f t="shared" si="116"/>
        <v>376035.53464738821</v>
      </c>
      <c r="R230" s="288">
        <f t="shared" si="116"/>
        <v>376035.53464738821</v>
      </c>
      <c r="S230" s="288">
        <f t="shared" si="116"/>
        <v>376035.53464738821</v>
      </c>
      <c r="T230" s="288">
        <f t="shared" si="116"/>
        <v>376035.53464738821</v>
      </c>
      <c r="U230" s="288">
        <f t="shared" si="116"/>
        <v>376035.53464738821</v>
      </c>
      <c r="V230" s="288">
        <f t="shared" si="116"/>
        <v>376035.53464738821</v>
      </c>
      <c r="W230" s="288">
        <f t="shared" si="116"/>
        <v>376035.53464738821</v>
      </c>
      <c r="X230" s="288">
        <f t="shared" si="116"/>
        <v>376035.53464738821</v>
      </c>
      <c r="Y230" s="288">
        <f t="shared" si="116"/>
        <v>376035.53464738821</v>
      </c>
      <c r="Z230" s="321"/>
      <c r="AA230" s="321"/>
      <c r="AB230" s="317"/>
    </row>
    <row r="231" spans="2:28" x14ac:dyDescent="0.3">
      <c r="B231" s="281" t="s">
        <v>242</v>
      </c>
      <c r="C231" s="324"/>
      <c r="D231" s="329"/>
      <c r="E231" s="282"/>
      <c r="F231" s="316"/>
      <c r="G231" s="283"/>
      <c r="H231" s="283"/>
      <c r="I231" s="283"/>
      <c r="J231" s="283"/>
      <c r="K231" s="283"/>
      <c r="L231" s="283"/>
      <c r="M231" s="283"/>
      <c r="N231" s="283"/>
      <c r="O231" s="283"/>
      <c r="P231" s="283"/>
      <c r="Q231" s="283"/>
      <c r="R231" s="283"/>
      <c r="S231" s="283"/>
      <c r="T231" s="283"/>
      <c r="U231" s="283"/>
      <c r="V231" s="283"/>
      <c r="W231" s="283"/>
      <c r="X231" s="283"/>
      <c r="Y231" s="283"/>
      <c r="Z231" s="283"/>
      <c r="AA231" s="283"/>
      <c r="AB231" s="317"/>
    </row>
    <row r="232" spans="2:28" x14ac:dyDescent="0.3">
      <c r="B232" s="284" t="s">
        <v>243</v>
      </c>
      <c r="C232" s="318">
        <v>1982</v>
      </c>
      <c r="D232" s="286">
        <v>14</v>
      </c>
      <c r="E232" s="319"/>
      <c r="F232" s="320">
        <f>+[16]OM_EF_2017!G61</f>
        <v>0.70197752729958329</v>
      </c>
      <c r="G232" s="288">
        <v>80691.735044999994</v>
      </c>
      <c r="H232" s="288">
        <v>79540.577999999994</v>
      </c>
      <c r="I232" s="288">
        <v>60267.497718999999</v>
      </c>
      <c r="J232" s="288">
        <v>84986.583595136995</v>
      </c>
      <c r="K232" s="288">
        <v>61003.532321999912</v>
      </c>
      <c r="L232" s="288">
        <v>79662.397554113864</v>
      </c>
      <c r="M232" s="288">
        <v>76545.155212149999</v>
      </c>
      <c r="N232" s="288">
        <v>41016.303</v>
      </c>
      <c r="O232" s="288">
        <f>+AVERAGE($L$232:$N$232)</f>
        <v>65741.285255421288</v>
      </c>
      <c r="P232" s="288">
        <f t="shared" ref="P232" si="117">+AVERAGE($L$232:$N$232)</f>
        <v>65741.285255421288</v>
      </c>
      <c r="Q232" s="321"/>
      <c r="R232" s="321"/>
      <c r="S232" s="321"/>
      <c r="T232" s="321"/>
      <c r="U232" s="321"/>
      <c r="V232" s="321"/>
      <c r="W232" s="321"/>
      <c r="X232" s="321"/>
      <c r="Y232" s="321"/>
      <c r="Z232" s="321"/>
      <c r="AA232" s="321"/>
      <c r="AB232" s="317"/>
    </row>
    <row r="233" spans="2:28" x14ac:dyDescent="0.3">
      <c r="B233" s="281" t="s">
        <v>244</v>
      </c>
      <c r="C233" s="324"/>
      <c r="D233" s="329"/>
      <c r="E233" s="282"/>
      <c r="F233" s="316"/>
      <c r="G233" s="283"/>
      <c r="H233" s="283"/>
      <c r="I233" s="283"/>
      <c r="J233" s="283"/>
      <c r="K233" s="283"/>
      <c r="L233" s="283"/>
      <c r="M233" s="283"/>
      <c r="N233" s="283"/>
      <c r="O233" s="283"/>
      <c r="P233" s="283"/>
      <c r="Q233" s="283"/>
      <c r="R233" s="283"/>
      <c r="S233" s="283"/>
      <c r="T233" s="283"/>
      <c r="U233" s="283"/>
      <c r="V233" s="283"/>
      <c r="W233" s="283"/>
      <c r="X233" s="283"/>
      <c r="Y233" s="283"/>
      <c r="Z233" s="283"/>
      <c r="AA233" s="283"/>
      <c r="AB233" s="317"/>
    </row>
    <row r="234" spans="2:28" x14ac:dyDescent="0.3">
      <c r="B234" s="284" t="s">
        <v>245</v>
      </c>
      <c r="C234" s="318">
        <v>1995</v>
      </c>
      <c r="D234" s="286">
        <v>9</v>
      </c>
      <c r="E234" s="319"/>
      <c r="F234" s="320">
        <f>+[16]OM_EF_2017!G63</f>
        <v>0.71464390089503949</v>
      </c>
      <c r="G234" s="288">
        <v>46977.265625</v>
      </c>
      <c r="H234" s="288">
        <v>50444.303124999999</v>
      </c>
      <c r="I234" s="288">
        <v>50792.947500000002</v>
      </c>
      <c r="J234" s="288">
        <v>25340.758313000002</v>
      </c>
      <c r="K234" s="288">
        <v>43520.745187</v>
      </c>
      <c r="L234" s="288">
        <v>0</v>
      </c>
      <c r="M234" s="288">
        <v>1793.82</v>
      </c>
      <c r="N234" s="288">
        <v>18.810000000000002</v>
      </c>
      <c r="O234" s="288">
        <f>+AVERAGE($L$234:$N$234)</f>
        <v>604.20999999999992</v>
      </c>
      <c r="P234" s="288">
        <f t="shared" ref="P234:Q234" si="118">+AVERAGE($L$234:$N$234)</f>
        <v>604.20999999999992</v>
      </c>
      <c r="Q234" s="288">
        <f t="shared" si="118"/>
        <v>604.20999999999992</v>
      </c>
      <c r="R234" s="288">
        <v>0</v>
      </c>
      <c r="S234" s="288">
        <v>0</v>
      </c>
      <c r="T234" s="288">
        <v>0</v>
      </c>
      <c r="U234" s="288">
        <v>0</v>
      </c>
      <c r="V234" s="288">
        <v>0</v>
      </c>
      <c r="W234" s="288">
        <v>0</v>
      </c>
      <c r="X234" s="288">
        <v>0</v>
      </c>
      <c r="Y234" s="288">
        <v>0</v>
      </c>
      <c r="Z234" s="288">
        <v>0</v>
      </c>
      <c r="AA234" s="288">
        <v>0</v>
      </c>
      <c r="AB234" s="317"/>
    </row>
    <row r="235" spans="2:28" x14ac:dyDescent="0.3">
      <c r="B235" s="284" t="s">
        <v>246</v>
      </c>
      <c r="C235" s="318">
        <v>1995</v>
      </c>
      <c r="D235" s="286">
        <v>9</v>
      </c>
      <c r="E235" s="319"/>
      <c r="F235" s="320">
        <f>+[16]OM_EF_2017!G64</f>
        <v>0.7091985440222266</v>
      </c>
      <c r="G235" s="288">
        <v>47451.323000000004</v>
      </c>
      <c r="H235" s="288">
        <v>50578.209750000002</v>
      </c>
      <c r="I235" s="288">
        <v>52201.957000000002</v>
      </c>
      <c r="J235" s="288">
        <v>20555.564869999998</v>
      </c>
      <c r="K235" s="288">
        <v>46932.179499999998</v>
      </c>
      <c r="L235" s="288">
        <v>29966.794000000005</v>
      </c>
      <c r="M235" s="288">
        <v>14728.669187500001</v>
      </c>
      <c r="N235" s="288">
        <v>14455.24559</v>
      </c>
      <c r="O235" s="288">
        <f>+AVERAGE($L$235:$N$235)</f>
        <v>19716.902925833336</v>
      </c>
      <c r="P235" s="288">
        <f t="shared" ref="P235:Q235" si="119">+AVERAGE($L$235:$N$235)</f>
        <v>19716.902925833336</v>
      </c>
      <c r="Q235" s="288">
        <f t="shared" si="119"/>
        <v>19716.902925833336</v>
      </c>
      <c r="R235" s="288">
        <v>0</v>
      </c>
      <c r="S235" s="288">
        <v>0</v>
      </c>
      <c r="T235" s="288">
        <v>0</v>
      </c>
      <c r="U235" s="288">
        <v>0</v>
      </c>
      <c r="V235" s="288">
        <v>0</v>
      </c>
      <c r="W235" s="288">
        <v>0</v>
      </c>
      <c r="X235" s="288">
        <v>0</v>
      </c>
      <c r="Y235" s="288">
        <v>0</v>
      </c>
      <c r="Z235" s="288">
        <v>0</v>
      </c>
      <c r="AA235" s="288">
        <v>0</v>
      </c>
      <c r="AB235" s="317"/>
    </row>
    <row r="236" spans="2:28" x14ac:dyDescent="0.3">
      <c r="B236" s="281" t="s">
        <v>160</v>
      </c>
      <c r="C236" s="324"/>
      <c r="D236" s="329"/>
      <c r="E236" s="282"/>
      <c r="F236" s="316"/>
      <c r="G236" s="283"/>
      <c r="H236" s="283"/>
      <c r="I236" s="283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3"/>
      <c r="V236" s="283"/>
      <c r="W236" s="283"/>
      <c r="X236" s="283"/>
      <c r="Y236" s="283"/>
      <c r="Z236" s="283"/>
      <c r="AA236" s="283"/>
      <c r="AB236" s="317"/>
    </row>
    <row r="237" spans="2:28" x14ac:dyDescent="0.3">
      <c r="B237" s="284" t="s">
        <v>247</v>
      </c>
      <c r="C237" s="318">
        <v>2009</v>
      </c>
      <c r="D237" s="286">
        <v>22</v>
      </c>
      <c r="E237" s="319"/>
      <c r="F237" s="320">
        <f>+[16]OM_EF_2017!G66</f>
        <v>0.70138564068297304</v>
      </c>
      <c r="G237" s="288">
        <v>73485.584999999992</v>
      </c>
      <c r="H237" s="288">
        <v>82841.692500000005</v>
      </c>
      <c r="I237" s="288">
        <v>69552.787499999991</v>
      </c>
      <c r="J237" s="288">
        <v>23800.942902800001</v>
      </c>
      <c r="K237" s="288">
        <v>44110.71</v>
      </c>
      <c r="L237" s="288">
        <v>44085.419999999991</v>
      </c>
      <c r="M237" s="288">
        <v>76414.35149999999</v>
      </c>
      <c r="N237" s="288">
        <v>77133.690000000017</v>
      </c>
      <c r="O237" s="288">
        <f>+AVERAGE($L$237:$N$237)</f>
        <v>65877.820499999987</v>
      </c>
      <c r="P237" s="288">
        <f t="shared" ref="P237" si="120">+AVERAGE($L$237:$N$237)</f>
        <v>65877.820499999987</v>
      </c>
      <c r="Q237" s="321"/>
      <c r="R237" s="321"/>
      <c r="S237" s="321"/>
      <c r="T237" s="321"/>
      <c r="U237" s="321"/>
      <c r="V237" s="321"/>
      <c r="W237" s="321"/>
      <c r="X237" s="321"/>
      <c r="Y237" s="321"/>
      <c r="Z237" s="321"/>
      <c r="AA237" s="321"/>
      <c r="AB237" s="317"/>
    </row>
    <row r="238" spans="2:28" x14ac:dyDescent="0.3">
      <c r="B238" s="284" t="s">
        <v>248</v>
      </c>
      <c r="C238" s="318">
        <v>2009</v>
      </c>
      <c r="D238" s="286">
        <v>22</v>
      </c>
      <c r="E238" s="319"/>
      <c r="F238" s="320">
        <f>+[16]OM_EF_2017!G67</f>
        <v>0.69085005890731344</v>
      </c>
      <c r="G238" s="288">
        <v>86746.319999999992</v>
      </c>
      <c r="H238" s="288">
        <v>105667.14</v>
      </c>
      <c r="I238" s="288">
        <v>63985.62</v>
      </c>
      <c r="J238" s="288">
        <v>16188.9</v>
      </c>
      <c r="K238" s="288">
        <v>29892.711125046593</v>
      </c>
      <c r="L238" s="288">
        <v>35185.5</v>
      </c>
      <c r="M238" s="288">
        <v>69334.630499999999</v>
      </c>
      <c r="N238" s="288">
        <v>64466.459999999992</v>
      </c>
      <c r="O238" s="288">
        <f>+AVERAGE($L$238:$N$238)</f>
        <v>56328.863499999999</v>
      </c>
      <c r="P238" s="288">
        <f t="shared" ref="P238" si="121">+AVERAGE($L$238:$N$238)</f>
        <v>56328.863499999999</v>
      </c>
      <c r="Q238" s="321"/>
      <c r="R238" s="321"/>
      <c r="S238" s="321"/>
      <c r="T238" s="321"/>
      <c r="U238" s="321"/>
      <c r="V238" s="321"/>
      <c r="W238" s="321"/>
      <c r="X238" s="321"/>
      <c r="Y238" s="321"/>
      <c r="Z238" s="321"/>
      <c r="AA238" s="321"/>
      <c r="AB238" s="317"/>
    </row>
    <row r="239" spans="2:28" x14ac:dyDescent="0.3">
      <c r="B239" s="281" t="s">
        <v>149</v>
      </c>
      <c r="C239" s="324"/>
      <c r="D239" s="329"/>
      <c r="E239" s="282"/>
      <c r="F239" s="316"/>
      <c r="G239" s="283"/>
      <c r="H239" s="283"/>
      <c r="I239" s="283"/>
      <c r="J239" s="283"/>
      <c r="K239" s="283"/>
      <c r="L239" s="283"/>
      <c r="M239" s="283"/>
      <c r="N239" s="283"/>
      <c r="O239" s="283"/>
      <c r="P239" s="283"/>
      <c r="Q239" s="283"/>
      <c r="R239" s="283"/>
      <c r="S239" s="283"/>
      <c r="T239" s="283"/>
      <c r="U239" s="283"/>
      <c r="V239" s="283"/>
      <c r="W239" s="283"/>
      <c r="X239" s="283"/>
      <c r="Y239" s="283"/>
      <c r="Z239" s="283"/>
      <c r="AA239" s="283"/>
      <c r="AB239" s="317"/>
    </row>
    <row r="240" spans="2:28" x14ac:dyDescent="0.3">
      <c r="B240" s="284" t="s">
        <v>92</v>
      </c>
      <c r="C240" s="318">
        <v>2014</v>
      </c>
      <c r="D240" s="286">
        <v>43.83</v>
      </c>
      <c r="E240" s="319"/>
      <c r="F240" s="320">
        <f>+[16]OM_EF_2017!G69</f>
        <v>0.55329560920712517</v>
      </c>
      <c r="G240" s="288">
        <v>0</v>
      </c>
      <c r="H240" s="288">
        <v>0</v>
      </c>
      <c r="I240" s="288">
        <v>0</v>
      </c>
      <c r="J240" s="288">
        <v>0</v>
      </c>
      <c r="K240" s="288">
        <v>84605.7</v>
      </c>
      <c r="L240" s="288">
        <v>283458</v>
      </c>
      <c r="M240" s="288">
        <v>327520.80560572003</v>
      </c>
      <c r="N240" s="288">
        <v>321801.02243377001</v>
      </c>
      <c r="O240" s="288">
        <f t="shared" si="111"/>
        <v>310926.6093464967</v>
      </c>
      <c r="P240" s="288">
        <f>O240</f>
        <v>310926.6093464967</v>
      </c>
      <c r="Q240" s="321">
        <f t="shared" ref="Q240:Y243" si="122">P240</f>
        <v>310926.6093464967</v>
      </c>
      <c r="R240" s="321">
        <f t="shared" si="122"/>
        <v>310926.6093464967</v>
      </c>
      <c r="S240" s="321">
        <f t="shared" si="122"/>
        <v>310926.6093464967</v>
      </c>
      <c r="T240" s="321">
        <f t="shared" si="122"/>
        <v>310926.6093464967</v>
      </c>
      <c r="U240" s="321">
        <f t="shared" si="122"/>
        <v>310926.6093464967</v>
      </c>
      <c r="V240" s="321">
        <f t="shared" si="122"/>
        <v>310926.6093464967</v>
      </c>
      <c r="W240" s="321">
        <f t="shared" si="122"/>
        <v>310926.6093464967</v>
      </c>
      <c r="X240" s="321">
        <f t="shared" si="122"/>
        <v>310926.6093464967</v>
      </c>
      <c r="Y240" s="321">
        <f t="shared" si="122"/>
        <v>310926.6093464967</v>
      </c>
      <c r="Z240" s="321"/>
      <c r="AA240" s="321"/>
      <c r="AB240" s="317"/>
    </row>
    <row r="241" spans="2:28" x14ac:dyDescent="0.3">
      <c r="B241" s="284" t="s">
        <v>93</v>
      </c>
      <c r="C241" s="318">
        <v>2014</v>
      </c>
      <c r="D241" s="286">
        <v>43.31</v>
      </c>
      <c r="E241" s="319"/>
      <c r="F241" s="320">
        <f>+[16]OM_EF_2017!G70</f>
        <v>0.55601828764353167</v>
      </c>
      <c r="G241" s="288">
        <v>0</v>
      </c>
      <c r="H241" s="288">
        <v>0</v>
      </c>
      <c r="I241" s="288">
        <v>0</v>
      </c>
      <c r="J241" s="288">
        <v>0</v>
      </c>
      <c r="K241" s="288">
        <v>129537</v>
      </c>
      <c r="L241" s="288">
        <v>256045</v>
      </c>
      <c r="M241" s="288">
        <v>313178.53026025603</v>
      </c>
      <c r="N241" s="288">
        <v>283832.34028472006</v>
      </c>
      <c r="O241" s="288">
        <f t="shared" si="111"/>
        <v>284351.95684832538</v>
      </c>
      <c r="P241" s="288">
        <f t="shared" ref="P241:P243" si="123">O241</f>
        <v>284351.95684832538</v>
      </c>
      <c r="Q241" s="321">
        <f t="shared" si="122"/>
        <v>284351.95684832538</v>
      </c>
      <c r="R241" s="321">
        <f t="shared" si="122"/>
        <v>284351.95684832538</v>
      </c>
      <c r="S241" s="321">
        <f t="shared" si="122"/>
        <v>284351.95684832538</v>
      </c>
      <c r="T241" s="321">
        <f t="shared" si="122"/>
        <v>284351.95684832538</v>
      </c>
      <c r="U241" s="321">
        <f t="shared" si="122"/>
        <v>284351.95684832538</v>
      </c>
      <c r="V241" s="321">
        <f t="shared" si="122"/>
        <v>284351.95684832538</v>
      </c>
      <c r="W241" s="321">
        <f t="shared" si="122"/>
        <v>284351.95684832538</v>
      </c>
      <c r="X241" s="321">
        <f t="shared" si="122"/>
        <v>284351.95684832538</v>
      </c>
      <c r="Y241" s="321">
        <f t="shared" si="122"/>
        <v>284351.95684832538</v>
      </c>
      <c r="Z241" s="321"/>
      <c r="AA241" s="321"/>
      <c r="AB241" s="317"/>
    </row>
    <row r="242" spans="2:28" x14ac:dyDescent="0.3">
      <c r="B242" s="284" t="s">
        <v>94</v>
      </c>
      <c r="C242" s="318">
        <v>2014</v>
      </c>
      <c r="D242" s="286">
        <v>44.16</v>
      </c>
      <c r="E242" s="319"/>
      <c r="F242" s="320">
        <f>+[16]OM_EF_2017!G71</f>
        <v>0.55069130809404065</v>
      </c>
      <c r="G242" s="288">
        <v>0</v>
      </c>
      <c r="H242" s="288">
        <v>0</v>
      </c>
      <c r="I242" s="288">
        <v>0</v>
      </c>
      <c r="J242" s="288">
        <v>0</v>
      </c>
      <c r="K242" s="288">
        <v>108702.3</v>
      </c>
      <c r="L242" s="288">
        <v>285112</v>
      </c>
      <c r="M242" s="288">
        <v>329847.8391620898</v>
      </c>
      <c r="N242" s="288">
        <v>326287.42484508501</v>
      </c>
      <c r="O242" s="288">
        <f t="shared" si="111"/>
        <v>313749.08800239163</v>
      </c>
      <c r="P242" s="288">
        <f t="shared" si="123"/>
        <v>313749.08800239163</v>
      </c>
      <c r="Q242" s="321">
        <f t="shared" si="122"/>
        <v>313749.08800239163</v>
      </c>
      <c r="R242" s="321">
        <f t="shared" si="122"/>
        <v>313749.08800239163</v>
      </c>
      <c r="S242" s="321">
        <f t="shared" si="122"/>
        <v>313749.08800239163</v>
      </c>
      <c r="T242" s="321">
        <f t="shared" si="122"/>
        <v>313749.08800239163</v>
      </c>
      <c r="U242" s="321">
        <f t="shared" si="122"/>
        <v>313749.08800239163</v>
      </c>
      <c r="V242" s="321">
        <f t="shared" si="122"/>
        <v>313749.08800239163</v>
      </c>
      <c r="W242" s="321">
        <f t="shared" si="122"/>
        <v>313749.08800239163</v>
      </c>
      <c r="X242" s="321">
        <f t="shared" si="122"/>
        <v>313749.08800239163</v>
      </c>
      <c r="Y242" s="321">
        <f t="shared" si="122"/>
        <v>313749.08800239163</v>
      </c>
      <c r="Z242" s="321"/>
      <c r="AA242" s="321"/>
      <c r="AB242" s="317"/>
    </row>
    <row r="243" spans="2:28" x14ac:dyDescent="0.3">
      <c r="B243" s="284" t="s">
        <v>95</v>
      </c>
      <c r="C243" s="318">
        <v>2014</v>
      </c>
      <c r="D243" s="286">
        <v>44.06</v>
      </c>
      <c r="E243" s="319"/>
      <c r="F243" s="320">
        <f>+[16]OM_EF_2017!G72</f>
        <v>0.55033617612407471</v>
      </c>
      <c r="G243" s="288">
        <v>0</v>
      </c>
      <c r="H243" s="288">
        <v>0</v>
      </c>
      <c r="I243" s="288">
        <v>0</v>
      </c>
      <c r="J243" s="288">
        <v>0</v>
      </c>
      <c r="K243" s="288">
        <v>73180</v>
      </c>
      <c r="L243" s="288">
        <v>279769</v>
      </c>
      <c r="M243" s="288">
        <v>310140.64298799884</v>
      </c>
      <c r="N243" s="288">
        <v>335050.79283362499</v>
      </c>
      <c r="O243" s="288">
        <f t="shared" si="111"/>
        <v>308320.14527387463</v>
      </c>
      <c r="P243" s="288">
        <f t="shared" si="123"/>
        <v>308320.14527387463</v>
      </c>
      <c r="Q243" s="321">
        <f t="shared" si="122"/>
        <v>308320.14527387463</v>
      </c>
      <c r="R243" s="321">
        <f t="shared" si="122"/>
        <v>308320.14527387463</v>
      </c>
      <c r="S243" s="321">
        <f t="shared" si="122"/>
        <v>308320.14527387463</v>
      </c>
      <c r="T243" s="321">
        <f t="shared" si="122"/>
        <v>308320.14527387463</v>
      </c>
      <c r="U243" s="321">
        <f t="shared" si="122"/>
        <v>308320.14527387463</v>
      </c>
      <c r="V243" s="321">
        <f t="shared" si="122"/>
        <v>308320.14527387463</v>
      </c>
      <c r="W243" s="321">
        <f t="shared" si="122"/>
        <v>308320.14527387463</v>
      </c>
      <c r="X243" s="321">
        <f t="shared" si="122"/>
        <v>308320.14527387463</v>
      </c>
      <c r="Y243" s="321">
        <f t="shared" si="122"/>
        <v>308320.14527387463</v>
      </c>
      <c r="Z243" s="321"/>
      <c r="AA243" s="321"/>
      <c r="AB243" s="317"/>
    </row>
    <row r="244" spans="2:28" x14ac:dyDescent="0.3">
      <c r="B244" s="281" t="s">
        <v>249</v>
      </c>
      <c r="C244" s="324"/>
      <c r="D244" s="329"/>
      <c r="E244" s="282"/>
      <c r="F244" s="316">
        <f>+[16]OM_EF_2017!G73</f>
        <v>0.70147713437403492</v>
      </c>
      <c r="G244" s="325">
        <v>412298.62000000005</v>
      </c>
      <c r="H244" s="325">
        <v>375505.48</v>
      </c>
      <c r="I244" s="325">
        <v>441361.19300000003</v>
      </c>
      <c r="J244" s="325">
        <v>438893.55500000005</v>
      </c>
      <c r="K244" s="325">
        <v>458878.51799999998</v>
      </c>
      <c r="L244" s="325">
        <v>260568.35899999994</v>
      </c>
      <c r="M244" s="325">
        <v>431717.94459999999</v>
      </c>
      <c r="N244" s="325">
        <v>498992.92799999996</v>
      </c>
      <c r="O244" s="325">
        <f>+AVERAGE($L$244:$N$244)</f>
        <v>397093.0772</v>
      </c>
      <c r="P244" s="325">
        <f t="shared" ref="P244" si="124">+AVERAGE($L$244:$N$244)</f>
        <v>397093.0772</v>
      </c>
      <c r="Q244" s="326"/>
      <c r="R244" s="326"/>
      <c r="S244" s="326"/>
      <c r="T244" s="326"/>
      <c r="U244" s="326"/>
      <c r="V244" s="326"/>
      <c r="W244" s="326"/>
      <c r="X244" s="326"/>
      <c r="Y244" s="326"/>
      <c r="Z244" s="326"/>
      <c r="AA244" s="326"/>
      <c r="AB244" s="317"/>
    </row>
    <row r="245" spans="2:28" x14ac:dyDescent="0.3">
      <c r="B245" s="284" t="s">
        <v>250</v>
      </c>
      <c r="C245" s="318">
        <v>1992</v>
      </c>
      <c r="D245" s="286">
        <v>18.52</v>
      </c>
      <c r="E245" s="319"/>
      <c r="F245" s="320">
        <f>+[16]OM_EF_2017!G74</f>
        <v>0.77217528002954161</v>
      </c>
      <c r="G245" s="327"/>
      <c r="H245" s="327"/>
      <c r="I245" s="327"/>
      <c r="J245" s="327"/>
      <c r="K245" s="327"/>
      <c r="L245" s="327"/>
      <c r="M245" s="327"/>
      <c r="N245" s="327"/>
      <c r="O245" s="327"/>
      <c r="P245" s="327"/>
      <c r="Q245" s="327"/>
      <c r="R245" s="327"/>
      <c r="S245" s="327"/>
      <c r="T245" s="327"/>
      <c r="U245" s="327"/>
      <c r="V245" s="327"/>
      <c r="W245" s="327"/>
      <c r="X245" s="327"/>
      <c r="Y245" s="327"/>
      <c r="Z245" s="327"/>
      <c r="AA245" s="327"/>
      <c r="AB245" s="317"/>
    </row>
    <row r="246" spans="2:28" x14ac:dyDescent="0.3">
      <c r="B246" s="284" t="s">
        <v>251</v>
      </c>
      <c r="C246" s="318">
        <v>1991</v>
      </c>
      <c r="D246" s="286">
        <v>18.809999999999999</v>
      </c>
      <c r="E246" s="319"/>
      <c r="F246" s="320">
        <f>+[16]OM_EF_2017!G75</f>
        <v>0.69576271782517718</v>
      </c>
      <c r="G246" s="328"/>
      <c r="H246" s="328"/>
      <c r="I246" s="328"/>
      <c r="J246" s="328"/>
      <c r="K246" s="328"/>
      <c r="L246" s="328"/>
      <c r="M246" s="328"/>
      <c r="N246" s="328"/>
      <c r="O246" s="328"/>
      <c r="P246" s="328"/>
      <c r="Q246" s="328"/>
      <c r="R246" s="328"/>
      <c r="S246" s="328"/>
      <c r="T246" s="328"/>
      <c r="U246" s="328"/>
      <c r="V246" s="328"/>
      <c r="W246" s="328"/>
      <c r="X246" s="328"/>
      <c r="Y246" s="328"/>
      <c r="Z246" s="328"/>
      <c r="AA246" s="328"/>
      <c r="AB246" s="317"/>
    </row>
    <row r="247" spans="2:28" x14ac:dyDescent="0.3">
      <c r="B247" s="284" t="s">
        <v>252</v>
      </c>
      <c r="C247" s="318">
        <v>1991</v>
      </c>
      <c r="D247" s="286">
        <v>18.32</v>
      </c>
      <c r="E247" s="319"/>
      <c r="F247" s="320">
        <f>+[16]OM_EF_2017!G76</f>
        <v>0.73269644270164769</v>
      </c>
      <c r="G247" s="328"/>
      <c r="H247" s="328"/>
      <c r="I247" s="328"/>
      <c r="J247" s="328"/>
      <c r="K247" s="328"/>
      <c r="L247" s="328"/>
      <c r="M247" s="328"/>
      <c r="N247" s="328"/>
      <c r="O247" s="328"/>
      <c r="P247" s="328"/>
      <c r="Q247" s="328"/>
      <c r="R247" s="328"/>
      <c r="S247" s="328"/>
      <c r="T247" s="328"/>
      <c r="U247" s="328"/>
      <c r="V247" s="328"/>
      <c r="W247" s="328"/>
      <c r="X247" s="328"/>
      <c r="Y247" s="328"/>
      <c r="Z247" s="328"/>
      <c r="AA247" s="328"/>
      <c r="AB247" s="317"/>
    </row>
    <row r="248" spans="2:28" x14ac:dyDescent="0.3">
      <c r="B248" s="284" t="s">
        <v>253</v>
      </c>
      <c r="C248" s="318">
        <v>1992</v>
      </c>
      <c r="D248" s="286">
        <v>18.63</v>
      </c>
      <c r="E248" s="319"/>
      <c r="F248" s="320">
        <f>+[16]OM_EF_2017!G77</f>
        <v>0.77010367687140613</v>
      </c>
      <c r="G248" s="328"/>
      <c r="H248" s="328"/>
      <c r="I248" s="328"/>
      <c r="J248" s="328"/>
      <c r="K248" s="328"/>
      <c r="L248" s="328"/>
      <c r="M248" s="328"/>
      <c r="N248" s="328"/>
      <c r="O248" s="328"/>
      <c r="P248" s="328"/>
      <c r="Q248" s="328"/>
      <c r="R248" s="328"/>
      <c r="S248" s="328"/>
      <c r="T248" s="328"/>
      <c r="U248" s="328"/>
      <c r="V248" s="328"/>
      <c r="W248" s="328"/>
      <c r="X248" s="328"/>
      <c r="Y248" s="328"/>
      <c r="Z248" s="328"/>
      <c r="AA248" s="328"/>
      <c r="AB248" s="317"/>
    </row>
    <row r="249" spans="2:28" x14ac:dyDescent="0.3">
      <c r="B249" s="284" t="s">
        <v>254</v>
      </c>
      <c r="C249" s="318">
        <v>2012</v>
      </c>
      <c r="D249" s="286">
        <v>10.58</v>
      </c>
      <c r="E249" s="319"/>
      <c r="F249" s="320">
        <f>+[16]OM_EF_2017!G78</f>
        <v>0.62592009706518492</v>
      </c>
      <c r="G249" s="328"/>
      <c r="H249" s="328"/>
      <c r="I249" s="328"/>
      <c r="J249" s="328"/>
      <c r="K249" s="328"/>
      <c r="L249" s="328"/>
      <c r="M249" s="328"/>
      <c r="N249" s="328"/>
      <c r="O249" s="328"/>
      <c r="P249" s="328"/>
      <c r="Q249" s="328"/>
      <c r="R249" s="328"/>
      <c r="S249" s="328"/>
      <c r="T249" s="328"/>
      <c r="U249" s="328"/>
      <c r="V249" s="328"/>
      <c r="W249" s="328"/>
      <c r="X249" s="328"/>
      <c r="Y249" s="328"/>
      <c r="Z249" s="328"/>
      <c r="AA249" s="328"/>
      <c r="AB249" s="317"/>
    </row>
    <row r="250" spans="2:28" x14ac:dyDescent="0.3">
      <c r="B250" s="284" t="s">
        <v>255</v>
      </c>
      <c r="C250" s="318">
        <v>2012</v>
      </c>
      <c r="D250" s="286">
        <v>10.58</v>
      </c>
      <c r="E250" s="319"/>
      <c r="F250" s="320">
        <f>+[16]OM_EF_2017!G79</f>
        <v>0.6288795301482355</v>
      </c>
      <c r="G250" s="328"/>
      <c r="H250" s="328"/>
      <c r="I250" s="328"/>
      <c r="J250" s="328"/>
      <c r="K250" s="328"/>
      <c r="L250" s="328"/>
      <c r="M250" s="328"/>
      <c r="N250" s="328"/>
      <c r="O250" s="328"/>
      <c r="P250" s="328"/>
      <c r="Q250" s="328"/>
      <c r="R250" s="328"/>
      <c r="S250" s="328"/>
      <c r="T250" s="328"/>
      <c r="U250" s="328"/>
      <c r="V250" s="328"/>
      <c r="W250" s="328"/>
      <c r="X250" s="328"/>
      <c r="Y250" s="328"/>
      <c r="Z250" s="328"/>
      <c r="AA250" s="328"/>
      <c r="AB250" s="317"/>
    </row>
    <row r="251" spans="2:28" x14ac:dyDescent="0.3">
      <c r="B251" s="284" t="s">
        <v>256</v>
      </c>
      <c r="C251" s="318">
        <v>2012</v>
      </c>
      <c r="D251" s="286">
        <v>10.58</v>
      </c>
      <c r="E251" s="319"/>
      <c r="F251" s="320">
        <f>+[16]OM_EF_2017!G80</f>
        <v>0.63106951062969285</v>
      </c>
      <c r="G251" s="328"/>
      <c r="H251" s="328"/>
      <c r="I251" s="328"/>
      <c r="J251" s="328"/>
      <c r="K251" s="328"/>
      <c r="L251" s="328"/>
      <c r="M251" s="328"/>
      <c r="N251" s="328"/>
      <c r="O251" s="328"/>
      <c r="P251" s="328"/>
      <c r="Q251" s="328"/>
      <c r="R251" s="328"/>
      <c r="S251" s="328"/>
      <c r="T251" s="328"/>
      <c r="U251" s="328"/>
      <c r="V251" s="328"/>
      <c r="W251" s="328"/>
      <c r="X251" s="328"/>
      <c r="Y251" s="328"/>
      <c r="Z251" s="328"/>
      <c r="AA251" s="328"/>
      <c r="AB251" s="317"/>
    </row>
    <row r="252" spans="2:28" x14ac:dyDescent="0.3">
      <c r="B252" s="284" t="s">
        <v>257</v>
      </c>
      <c r="C252" s="318">
        <v>2012</v>
      </c>
      <c r="D252" s="286">
        <v>10.58</v>
      </c>
      <c r="E252" s="319"/>
      <c r="F252" s="320">
        <f>+[16]OM_EF_2017!G81</f>
        <v>0.6315430199229809</v>
      </c>
      <c r="G252" s="323"/>
      <c r="H252" s="323"/>
      <c r="I252" s="323"/>
      <c r="J252" s="323"/>
      <c r="K252" s="323"/>
      <c r="L252" s="323"/>
      <c r="M252" s="323"/>
      <c r="N252" s="323"/>
      <c r="O252" s="323"/>
      <c r="P252" s="323"/>
      <c r="Q252" s="323"/>
      <c r="R252" s="323"/>
      <c r="S252" s="323"/>
      <c r="T252" s="323"/>
      <c r="U252" s="323"/>
      <c r="V252" s="323"/>
      <c r="W252" s="323"/>
      <c r="X252" s="323"/>
      <c r="Y252" s="323"/>
      <c r="Z252" s="323"/>
      <c r="AA252" s="323"/>
      <c r="AB252" s="317"/>
    </row>
    <row r="253" spans="2:28" x14ac:dyDescent="0.3">
      <c r="B253" s="281" t="s">
        <v>154</v>
      </c>
      <c r="C253" s="324"/>
      <c r="D253" s="329"/>
      <c r="E253" s="282"/>
      <c r="F253" s="316"/>
      <c r="G253" s="330"/>
      <c r="H253" s="330"/>
      <c r="I253" s="330"/>
      <c r="J253" s="330"/>
      <c r="K253" s="330"/>
      <c r="L253" s="283"/>
      <c r="M253" s="283"/>
      <c r="N253" s="283"/>
      <c r="O253" s="283"/>
      <c r="P253" s="283"/>
      <c r="Q253" s="283"/>
      <c r="R253" s="283"/>
      <c r="S253" s="283"/>
      <c r="T253" s="283"/>
      <c r="U253" s="283"/>
      <c r="V253" s="283"/>
      <c r="W253" s="283"/>
      <c r="X253" s="283"/>
      <c r="Y253" s="283"/>
      <c r="Z253" s="283"/>
      <c r="AA253" s="283"/>
      <c r="AB253" s="317"/>
    </row>
    <row r="254" spans="2:28" x14ac:dyDescent="0.3">
      <c r="B254" s="284" t="s">
        <v>96</v>
      </c>
      <c r="C254" s="318">
        <v>2015</v>
      </c>
      <c r="D254" s="286">
        <v>44.58</v>
      </c>
      <c r="E254" s="319"/>
      <c r="F254" s="320">
        <f>+[16]OM_EF_2017!G83</f>
        <v>0.53500631275387289</v>
      </c>
      <c r="G254" s="288">
        <v>0</v>
      </c>
      <c r="H254" s="288">
        <v>0</v>
      </c>
      <c r="I254" s="288">
        <v>0</v>
      </c>
      <c r="J254" s="288">
        <v>0</v>
      </c>
      <c r="K254" s="288">
        <v>0</v>
      </c>
      <c r="L254" s="331">
        <v>198822</v>
      </c>
      <c r="M254" s="288">
        <v>327476</v>
      </c>
      <c r="N254" s="288">
        <v>341340.33600000001</v>
      </c>
      <c r="O254" s="288">
        <f t="shared" ref="O254:Y257" si="125">+AVERAGE(L254:N254)</f>
        <v>289212.77866666665</v>
      </c>
      <c r="P254" s="288">
        <f t="shared" si="125"/>
        <v>319343.03822222218</v>
      </c>
      <c r="Q254" s="321">
        <f t="shared" si="125"/>
        <v>316632.05096296291</v>
      </c>
      <c r="R254" s="321">
        <f t="shared" si="125"/>
        <v>308395.95595061727</v>
      </c>
      <c r="S254" s="321">
        <f t="shared" si="125"/>
        <v>314790.34837860079</v>
      </c>
      <c r="T254" s="321">
        <f t="shared" si="125"/>
        <v>313272.78509739367</v>
      </c>
      <c r="U254" s="321">
        <f t="shared" si="125"/>
        <v>312153.02980887057</v>
      </c>
      <c r="V254" s="321">
        <f t="shared" si="125"/>
        <v>313405.38776162168</v>
      </c>
      <c r="W254" s="321">
        <f t="shared" si="125"/>
        <v>312943.73422262864</v>
      </c>
      <c r="X254" s="321">
        <f t="shared" si="125"/>
        <v>312834.05059770698</v>
      </c>
      <c r="Y254" s="321">
        <f t="shared" si="125"/>
        <v>313061.05752731912</v>
      </c>
      <c r="Z254" s="321"/>
      <c r="AA254" s="321"/>
      <c r="AB254" s="317"/>
    </row>
    <row r="255" spans="2:28" x14ac:dyDescent="0.3">
      <c r="B255" s="284" t="s">
        <v>97</v>
      </c>
      <c r="C255" s="318">
        <v>2015</v>
      </c>
      <c r="D255" s="286">
        <v>44</v>
      </c>
      <c r="E255" s="319"/>
      <c r="F255" s="320">
        <f>+[16]OM_EF_2017!G84</f>
        <v>0.54003734899505884</v>
      </c>
      <c r="G255" s="288">
        <v>0</v>
      </c>
      <c r="H255" s="288">
        <v>0</v>
      </c>
      <c r="I255" s="288">
        <v>0</v>
      </c>
      <c r="J255" s="288">
        <v>0</v>
      </c>
      <c r="K255" s="288">
        <v>0</v>
      </c>
      <c r="L255" s="331">
        <v>104963</v>
      </c>
      <c r="M255" s="288">
        <v>303848</v>
      </c>
      <c r="N255" s="288">
        <v>232234.96000000008</v>
      </c>
      <c r="O255" s="288">
        <f>+AVERAGE(L255:N255)</f>
        <v>213681.98666666669</v>
      </c>
      <c r="P255" s="288">
        <f t="shared" si="125"/>
        <v>249921.64888888891</v>
      </c>
      <c r="Q255" s="321">
        <f t="shared" si="125"/>
        <v>231946.19851851856</v>
      </c>
      <c r="R255" s="321">
        <f t="shared" si="125"/>
        <v>231849.94469135805</v>
      </c>
      <c r="S255" s="321">
        <f t="shared" si="125"/>
        <v>237905.9306995885</v>
      </c>
      <c r="T255" s="321">
        <f t="shared" si="125"/>
        <v>233900.69130315504</v>
      </c>
      <c r="U255" s="321">
        <f t="shared" si="125"/>
        <v>234552.18889803384</v>
      </c>
      <c r="V255" s="321">
        <f t="shared" si="125"/>
        <v>235452.93696692577</v>
      </c>
      <c r="W255" s="321">
        <f t="shared" si="125"/>
        <v>234635.27238937153</v>
      </c>
      <c r="X255" s="321">
        <f t="shared" si="125"/>
        <v>234880.13275144374</v>
      </c>
      <c r="Y255" s="321">
        <f t="shared" si="125"/>
        <v>234989.44736924701</v>
      </c>
      <c r="Z255" s="321"/>
      <c r="AA255" s="321"/>
      <c r="AB255" s="317"/>
    </row>
    <row r="256" spans="2:28" x14ac:dyDescent="0.3">
      <c r="B256" s="284" t="s">
        <v>98</v>
      </c>
      <c r="C256" s="318">
        <v>2015</v>
      </c>
      <c r="D256" s="286">
        <v>44.33</v>
      </c>
      <c r="E256" s="319"/>
      <c r="F256" s="320">
        <f>+[16]OM_EF_2017!G85</f>
        <v>0.53991897167173675</v>
      </c>
      <c r="G256" s="288">
        <v>0</v>
      </c>
      <c r="H256" s="288">
        <v>0</v>
      </c>
      <c r="I256" s="288">
        <v>0</v>
      </c>
      <c r="J256" s="288">
        <v>0</v>
      </c>
      <c r="K256" s="288">
        <v>0</v>
      </c>
      <c r="L256" s="331">
        <v>135385</v>
      </c>
      <c r="M256" s="288">
        <v>334360</v>
      </c>
      <c r="N256" s="288">
        <v>332215.63199999998</v>
      </c>
      <c r="O256" s="288">
        <f t="shared" si="125"/>
        <v>267320.21066666668</v>
      </c>
      <c r="P256" s="288">
        <f>+AVERAGE(M256:O256)</f>
        <v>311298.61422222224</v>
      </c>
      <c r="Q256" s="321">
        <f t="shared" si="125"/>
        <v>303611.48562962963</v>
      </c>
      <c r="R256" s="321">
        <f t="shared" si="125"/>
        <v>294076.77017283952</v>
      </c>
      <c r="S256" s="321">
        <f t="shared" si="125"/>
        <v>302995.6233415638</v>
      </c>
      <c r="T256" s="321">
        <f t="shared" si="125"/>
        <v>300227.95971467765</v>
      </c>
      <c r="U256" s="321">
        <f t="shared" si="125"/>
        <v>299100.11774302699</v>
      </c>
      <c r="V256" s="321">
        <f t="shared" si="125"/>
        <v>300774.56693308946</v>
      </c>
      <c r="W256" s="321">
        <f t="shared" si="125"/>
        <v>300034.21479693131</v>
      </c>
      <c r="X256" s="321">
        <f t="shared" si="125"/>
        <v>299969.63315768261</v>
      </c>
      <c r="Y256" s="321">
        <f t="shared" si="125"/>
        <v>300259.47162923444</v>
      </c>
      <c r="Z256" s="321"/>
      <c r="AA256" s="321"/>
      <c r="AB256" s="317"/>
    </row>
    <row r="257" spans="2:28" x14ac:dyDescent="0.3">
      <c r="B257" s="284" t="s">
        <v>99</v>
      </c>
      <c r="C257" s="318">
        <v>2015</v>
      </c>
      <c r="D257" s="286">
        <v>44.55</v>
      </c>
      <c r="E257" s="319"/>
      <c r="F257" s="320">
        <f>+[16]OM_EF_2017!G86</f>
        <v>0.54062923561166887</v>
      </c>
      <c r="G257" s="288">
        <v>0</v>
      </c>
      <c r="H257" s="288">
        <v>0</v>
      </c>
      <c r="I257" s="288">
        <v>0</v>
      </c>
      <c r="J257" s="288">
        <v>0</v>
      </c>
      <c r="K257" s="288">
        <v>0</v>
      </c>
      <c r="L257" s="331">
        <v>75984</v>
      </c>
      <c r="M257" s="288">
        <v>328445</v>
      </c>
      <c r="N257" s="288">
        <v>319457.85599999991</v>
      </c>
      <c r="O257" s="288">
        <f t="shared" si="125"/>
        <v>241295.61866666665</v>
      </c>
      <c r="P257" s="288">
        <f>+AVERAGE(M257:O257)</f>
        <v>296399.49155555555</v>
      </c>
      <c r="Q257" s="321">
        <f t="shared" si="125"/>
        <v>285717.65540740738</v>
      </c>
      <c r="R257" s="321">
        <f t="shared" si="125"/>
        <v>274470.9218765432</v>
      </c>
      <c r="S257" s="321">
        <f t="shared" si="125"/>
        <v>285529.3562798354</v>
      </c>
      <c r="T257" s="321">
        <f t="shared" si="125"/>
        <v>281905.97785459529</v>
      </c>
      <c r="U257" s="321">
        <f t="shared" si="125"/>
        <v>280635.41867032461</v>
      </c>
      <c r="V257" s="321">
        <f t="shared" si="125"/>
        <v>282690.25093491841</v>
      </c>
      <c r="W257" s="321">
        <f t="shared" si="125"/>
        <v>281743.88248661277</v>
      </c>
      <c r="X257" s="321">
        <f t="shared" si="125"/>
        <v>281689.85069728526</v>
      </c>
      <c r="Y257" s="321">
        <f t="shared" si="125"/>
        <v>282041.32803960546</v>
      </c>
      <c r="Z257" s="321"/>
      <c r="AA257" s="321"/>
      <c r="AB257" s="317"/>
    </row>
    <row r="258" spans="2:28" x14ac:dyDescent="0.3">
      <c r="B258" s="284" t="s">
        <v>100</v>
      </c>
      <c r="C258" s="318">
        <v>2015</v>
      </c>
      <c r="D258" s="286">
        <v>44</v>
      </c>
      <c r="E258" s="319"/>
      <c r="F258" s="320">
        <f>+[16]OM_EF_2017!G87</f>
        <v>0.54128031088994011</v>
      </c>
      <c r="G258" s="288">
        <v>0</v>
      </c>
      <c r="H258" s="288">
        <v>0</v>
      </c>
      <c r="I258" s="288">
        <v>0</v>
      </c>
      <c r="J258" s="288">
        <v>0</v>
      </c>
      <c r="K258" s="288">
        <v>0</v>
      </c>
      <c r="L258" s="331">
        <v>91678</v>
      </c>
      <c r="M258" s="288">
        <v>330964</v>
      </c>
      <c r="N258" s="288">
        <v>332882.23199999996</v>
      </c>
      <c r="O258" s="288">
        <f>+AVERAGE($L$258:$N$258)</f>
        <v>251841.41066666666</v>
      </c>
      <c r="P258" s="288">
        <f t="shared" ref="P258:Y258" si="126">+AVERAGE($L$258:$N$258)</f>
        <v>251841.41066666666</v>
      </c>
      <c r="Q258" s="321">
        <f t="shared" si="126"/>
        <v>251841.41066666666</v>
      </c>
      <c r="R258" s="321">
        <f t="shared" si="126"/>
        <v>251841.41066666666</v>
      </c>
      <c r="S258" s="321">
        <f t="shared" si="126"/>
        <v>251841.41066666666</v>
      </c>
      <c r="T258" s="321">
        <f t="shared" si="126"/>
        <v>251841.41066666666</v>
      </c>
      <c r="U258" s="321">
        <f t="shared" si="126"/>
        <v>251841.41066666666</v>
      </c>
      <c r="V258" s="321">
        <f t="shared" si="126"/>
        <v>251841.41066666666</v>
      </c>
      <c r="W258" s="321">
        <f t="shared" si="126"/>
        <v>251841.41066666666</v>
      </c>
      <c r="X258" s="321">
        <f t="shared" si="126"/>
        <v>251841.41066666666</v>
      </c>
      <c r="Y258" s="321">
        <f t="shared" si="126"/>
        <v>251841.41066666666</v>
      </c>
      <c r="Z258" s="321"/>
      <c r="AA258" s="321"/>
      <c r="AB258" s="317"/>
    </row>
    <row r="259" spans="2:28" x14ac:dyDescent="0.3">
      <c r="B259" s="332"/>
      <c r="C259" s="332"/>
      <c r="D259" s="333"/>
      <c r="E259" s="334"/>
      <c r="F259" s="334"/>
      <c r="G259" s="335"/>
      <c r="H259" s="304"/>
      <c r="I259" s="335"/>
      <c r="J259" s="335"/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  <c r="V259" s="304"/>
      <c r="W259" s="304"/>
      <c r="X259" s="304"/>
      <c r="Y259" s="304"/>
      <c r="Z259" s="304"/>
      <c r="AA259" s="304"/>
    </row>
    <row r="260" spans="2:28" x14ac:dyDescent="0.3">
      <c r="B260" s="243"/>
      <c r="C260" s="211"/>
      <c r="D260" s="211"/>
      <c r="E260" s="211"/>
      <c r="F260" s="244"/>
      <c r="G260" s="212">
        <v>2010</v>
      </c>
      <c r="H260" s="212">
        <v>2011</v>
      </c>
      <c r="I260" s="212">
        <v>2012</v>
      </c>
      <c r="J260" s="212">
        <v>2013</v>
      </c>
      <c r="K260" s="212">
        <v>2014</v>
      </c>
      <c r="L260" s="212">
        <v>2015</v>
      </c>
      <c r="M260" s="212">
        <v>2016</v>
      </c>
      <c r="N260" s="212">
        <v>2017</v>
      </c>
      <c r="O260" s="212">
        <v>2018</v>
      </c>
      <c r="P260" s="212">
        <v>2019</v>
      </c>
      <c r="Q260" s="212">
        <v>2020</v>
      </c>
      <c r="R260" s="212">
        <v>2021</v>
      </c>
      <c r="S260" s="212">
        <v>2022</v>
      </c>
      <c r="T260" s="212">
        <v>2023</v>
      </c>
      <c r="U260" s="212">
        <v>2024</v>
      </c>
      <c r="V260" s="212">
        <v>2025</v>
      </c>
      <c r="W260" s="212">
        <v>2026</v>
      </c>
      <c r="X260" s="212">
        <v>2027</v>
      </c>
      <c r="Y260" s="212">
        <v>2028</v>
      </c>
      <c r="Z260" s="212">
        <v>2029</v>
      </c>
      <c r="AA260" s="212">
        <v>2030</v>
      </c>
    </row>
    <row r="261" spans="2:28" ht="28.8" x14ac:dyDescent="0.3">
      <c r="B261" s="291" t="s">
        <v>164</v>
      </c>
      <c r="C261" s="292" t="s">
        <v>139</v>
      </c>
      <c r="D261" s="274" t="s">
        <v>140</v>
      </c>
      <c r="E261" s="293"/>
      <c r="F261" s="293"/>
      <c r="G261" s="294" t="s">
        <v>143</v>
      </c>
      <c r="H261" s="294" t="s">
        <v>143</v>
      </c>
      <c r="I261" s="294" t="s">
        <v>143</v>
      </c>
      <c r="J261" s="294" t="s">
        <v>143</v>
      </c>
      <c r="K261" s="294" t="s">
        <v>143</v>
      </c>
      <c r="L261" s="294" t="s">
        <v>143</v>
      </c>
      <c r="M261" s="294" t="s">
        <v>143</v>
      </c>
      <c r="N261" s="294" t="s">
        <v>143</v>
      </c>
      <c r="O261" s="294" t="s">
        <v>143</v>
      </c>
      <c r="P261" s="294" t="s">
        <v>143</v>
      </c>
      <c r="Q261" s="294" t="s">
        <v>143</v>
      </c>
      <c r="R261" s="294" t="s">
        <v>143</v>
      </c>
      <c r="S261" s="294" t="s">
        <v>143</v>
      </c>
      <c r="T261" s="294" t="s">
        <v>143</v>
      </c>
      <c r="U261" s="294" t="s">
        <v>143</v>
      </c>
      <c r="V261" s="294" t="s">
        <v>143</v>
      </c>
      <c r="W261" s="294" t="s">
        <v>143</v>
      </c>
      <c r="X261" s="294" t="s">
        <v>143</v>
      </c>
      <c r="Y261" s="294" t="s">
        <v>143</v>
      </c>
      <c r="Z261" s="294" t="s">
        <v>143</v>
      </c>
      <c r="AA261" s="294" t="s">
        <v>143</v>
      </c>
    </row>
    <row r="262" spans="2:28" x14ac:dyDescent="0.3">
      <c r="B262" s="295" t="s">
        <v>165</v>
      </c>
      <c r="C262" s="295"/>
      <c r="D262" s="295"/>
      <c r="E262" s="295"/>
      <c r="F262" s="295"/>
      <c r="G262" s="296">
        <f>SUM(G263:G331)</f>
        <v>2151428.9800358461</v>
      </c>
      <c r="H262" s="296">
        <f t="shared" ref="H262:AA262" si="127">SUM(H263:H331)</f>
        <v>2324105.4636729998</v>
      </c>
      <c r="I262" s="296">
        <f t="shared" si="127"/>
        <v>2322084.4652733332</v>
      </c>
      <c r="J262" s="296">
        <f t="shared" si="127"/>
        <v>2514863.618699627</v>
      </c>
      <c r="K262" s="296">
        <f t="shared" si="127"/>
        <v>2232992.8565350003</v>
      </c>
      <c r="L262" s="296">
        <f t="shared" si="127"/>
        <v>2439591.1513262745</v>
      </c>
      <c r="M262" s="296">
        <f t="shared" si="127"/>
        <v>1715604.4612500004</v>
      </c>
      <c r="N262" s="296">
        <f t="shared" si="127"/>
        <v>2229863.9013999989</v>
      </c>
      <c r="O262" s="296">
        <f t="shared" si="127"/>
        <v>2651238.9793254239</v>
      </c>
      <c r="P262" s="296">
        <f t="shared" si="127"/>
        <v>2640951.1156587573</v>
      </c>
      <c r="Q262" s="296">
        <f t="shared" si="127"/>
        <v>2640951.1156587573</v>
      </c>
      <c r="R262" s="296">
        <f t="shared" si="127"/>
        <v>2640951.1156587573</v>
      </c>
      <c r="S262" s="296">
        <f t="shared" si="127"/>
        <v>2640951.1156587573</v>
      </c>
      <c r="T262" s="296">
        <f t="shared" si="127"/>
        <v>2640951.1156587573</v>
      </c>
      <c r="U262" s="296">
        <f t="shared" si="127"/>
        <v>2640951.1156587573</v>
      </c>
      <c r="V262" s="296">
        <f t="shared" si="127"/>
        <v>2640951.1156587573</v>
      </c>
      <c r="W262" s="296">
        <f t="shared" si="127"/>
        <v>2640951.1156587573</v>
      </c>
      <c r="X262" s="296">
        <f t="shared" si="127"/>
        <v>2640951.1156587573</v>
      </c>
      <c r="Y262" s="296">
        <f t="shared" si="127"/>
        <v>2640951.1156587573</v>
      </c>
      <c r="Z262" s="296">
        <f t="shared" si="127"/>
        <v>2640951.1156587573</v>
      </c>
      <c r="AA262" s="296">
        <f t="shared" si="127"/>
        <v>2640951.1156587573</v>
      </c>
    </row>
    <row r="263" spans="2:28" x14ac:dyDescent="0.3">
      <c r="B263" s="297" t="s">
        <v>258</v>
      </c>
      <c r="C263" s="297"/>
      <c r="D263" s="297"/>
      <c r="E263" s="297"/>
      <c r="F263" s="297"/>
      <c r="G263" s="298"/>
      <c r="H263" s="298"/>
      <c r="I263" s="298"/>
      <c r="J263" s="298"/>
      <c r="K263" s="298"/>
      <c r="L263" s="298"/>
      <c r="M263" s="298"/>
      <c r="N263" s="298"/>
      <c r="O263" s="298"/>
      <c r="P263" s="298"/>
      <c r="Q263" s="298"/>
      <c r="R263" s="298"/>
      <c r="S263" s="298"/>
      <c r="T263" s="298"/>
      <c r="U263" s="298"/>
      <c r="V263" s="298"/>
      <c r="W263" s="298"/>
      <c r="X263" s="298"/>
      <c r="Y263" s="298"/>
      <c r="Z263" s="298"/>
      <c r="AA263" s="298"/>
    </row>
    <row r="264" spans="2:28" x14ac:dyDescent="0.3">
      <c r="B264" s="299" t="s">
        <v>259</v>
      </c>
      <c r="C264" s="300">
        <v>1936</v>
      </c>
      <c r="D264" s="286">
        <v>2.2200000000000002</v>
      </c>
      <c r="E264" s="287"/>
      <c r="F264" s="299"/>
      <c r="G264" s="288">
        <v>9271.0999999999949</v>
      </c>
      <c r="H264" s="288">
        <v>8656.5849999999991</v>
      </c>
      <c r="I264" s="288">
        <v>10232.768999999998</v>
      </c>
      <c r="J264" s="288">
        <v>8655.150999999998</v>
      </c>
      <c r="K264" s="288">
        <v>8364.82</v>
      </c>
      <c r="L264" s="288">
        <v>8059.2840000000015</v>
      </c>
      <c r="M264" s="288">
        <v>8299.025999999998</v>
      </c>
      <c r="N264" s="288">
        <v>7068.2120000000004</v>
      </c>
      <c r="O264" s="288">
        <f t="shared" ref="O264:O281" si="128">+AVERAGE(L264:N264)</f>
        <v>7808.8406666666669</v>
      </c>
      <c r="P264" s="288">
        <f>+O264</f>
        <v>7808.8406666666669</v>
      </c>
      <c r="Q264" s="288">
        <f t="shared" ref="Q264:AA264" si="129">+P264</f>
        <v>7808.8406666666669</v>
      </c>
      <c r="R264" s="288">
        <f t="shared" si="129"/>
        <v>7808.8406666666669</v>
      </c>
      <c r="S264" s="288">
        <f t="shared" si="129"/>
        <v>7808.8406666666669</v>
      </c>
      <c r="T264" s="288">
        <f t="shared" si="129"/>
        <v>7808.8406666666669</v>
      </c>
      <c r="U264" s="288">
        <f t="shared" si="129"/>
        <v>7808.8406666666669</v>
      </c>
      <c r="V264" s="288">
        <f t="shared" si="129"/>
        <v>7808.8406666666669</v>
      </c>
      <c r="W264" s="288">
        <f t="shared" si="129"/>
        <v>7808.8406666666669</v>
      </c>
      <c r="X264" s="288">
        <f t="shared" si="129"/>
        <v>7808.8406666666669</v>
      </c>
      <c r="Y264" s="288">
        <f t="shared" si="129"/>
        <v>7808.8406666666669</v>
      </c>
      <c r="Z264" s="288">
        <f t="shared" si="129"/>
        <v>7808.8406666666669</v>
      </c>
      <c r="AA264" s="288">
        <f t="shared" si="129"/>
        <v>7808.8406666666669</v>
      </c>
    </row>
    <row r="265" spans="2:28" x14ac:dyDescent="0.3">
      <c r="B265" s="299" t="s">
        <v>260</v>
      </c>
      <c r="C265" s="300">
        <v>1958</v>
      </c>
      <c r="D265" s="286">
        <v>1.27</v>
      </c>
      <c r="E265" s="287"/>
      <c r="F265" s="299"/>
      <c r="G265" s="288">
        <v>4843.4999999999982</v>
      </c>
      <c r="H265" s="288">
        <v>5139.1980000000003</v>
      </c>
      <c r="I265" s="288">
        <v>4981.5259999999998</v>
      </c>
      <c r="J265" s="288">
        <v>3998.6959999999999</v>
      </c>
      <c r="K265" s="288">
        <v>4087.8379999999997</v>
      </c>
      <c r="L265" s="288">
        <v>3992.585</v>
      </c>
      <c r="M265" s="288">
        <v>2863.16</v>
      </c>
      <c r="N265" s="288">
        <v>3531.5559999999991</v>
      </c>
      <c r="O265" s="288">
        <f t="shared" si="128"/>
        <v>3462.4336666666663</v>
      </c>
      <c r="P265" s="288">
        <f t="shared" ref="P265:AA266" si="130">+O265</f>
        <v>3462.4336666666663</v>
      </c>
      <c r="Q265" s="288">
        <f t="shared" si="130"/>
        <v>3462.4336666666663</v>
      </c>
      <c r="R265" s="288">
        <f t="shared" si="130"/>
        <v>3462.4336666666663</v>
      </c>
      <c r="S265" s="288">
        <f t="shared" si="130"/>
        <v>3462.4336666666663</v>
      </c>
      <c r="T265" s="288">
        <f t="shared" si="130"/>
        <v>3462.4336666666663</v>
      </c>
      <c r="U265" s="288">
        <f t="shared" si="130"/>
        <v>3462.4336666666663</v>
      </c>
      <c r="V265" s="288">
        <f t="shared" si="130"/>
        <v>3462.4336666666663</v>
      </c>
      <c r="W265" s="288">
        <f t="shared" si="130"/>
        <v>3462.4336666666663</v>
      </c>
      <c r="X265" s="288">
        <f t="shared" si="130"/>
        <v>3462.4336666666663</v>
      </c>
      <c r="Y265" s="288">
        <f t="shared" si="130"/>
        <v>3462.4336666666663</v>
      </c>
      <c r="Z265" s="288">
        <f t="shared" si="130"/>
        <v>3462.4336666666663</v>
      </c>
      <c r="AA265" s="288">
        <f t="shared" si="130"/>
        <v>3462.4336666666663</v>
      </c>
    </row>
    <row r="266" spans="2:28" x14ac:dyDescent="0.3">
      <c r="B266" s="299" t="s">
        <v>261</v>
      </c>
      <c r="C266" s="300">
        <v>2008</v>
      </c>
      <c r="D266" s="286">
        <v>2.74</v>
      </c>
      <c r="E266" s="287"/>
      <c r="F266" s="299"/>
      <c r="G266" s="288">
        <v>5760.9160000000011</v>
      </c>
      <c r="H266" s="288">
        <v>6575.5169999999998</v>
      </c>
      <c r="I266" s="288">
        <v>7386.07</v>
      </c>
      <c r="J266" s="288">
        <v>6891.6029999999992</v>
      </c>
      <c r="K266" s="288">
        <v>6808.925000000002</v>
      </c>
      <c r="L266" s="288">
        <v>6644.1160000000018</v>
      </c>
      <c r="M266" s="288">
        <v>5656.7429999999995</v>
      </c>
      <c r="N266" s="288">
        <v>6833.0870000000014</v>
      </c>
      <c r="O266" s="288">
        <f t="shared" si="128"/>
        <v>6377.9820000000009</v>
      </c>
      <c r="P266" s="288">
        <f t="shared" si="130"/>
        <v>6377.9820000000009</v>
      </c>
      <c r="Q266" s="288">
        <f t="shared" si="130"/>
        <v>6377.9820000000009</v>
      </c>
      <c r="R266" s="288">
        <f t="shared" si="130"/>
        <v>6377.9820000000009</v>
      </c>
      <c r="S266" s="288">
        <f t="shared" si="130"/>
        <v>6377.9820000000009</v>
      </c>
      <c r="T266" s="288">
        <f t="shared" si="130"/>
        <v>6377.9820000000009</v>
      </c>
      <c r="U266" s="288">
        <f t="shared" si="130"/>
        <v>6377.9820000000009</v>
      </c>
      <c r="V266" s="288">
        <f t="shared" si="130"/>
        <v>6377.9820000000009</v>
      </c>
      <c r="W266" s="288">
        <f t="shared" si="130"/>
        <v>6377.9820000000009</v>
      </c>
      <c r="X266" s="288">
        <f t="shared" si="130"/>
        <v>6377.9820000000009</v>
      </c>
      <c r="Y266" s="288">
        <f t="shared" si="130"/>
        <v>6377.9820000000009</v>
      </c>
      <c r="Z266" s="288">
        <f t="shared" si="130"/>
        <v>6377.9820000000009</v>
      </c>
      <c r="AA266" s="288">
        <f t="shared" si="130"/>
        <v>6377.9820000000009</v>
      </c>
    </row>
    <row r="267" spans="2:28" x14ac:dyDescent="0.3">
      <c r="B267" s="297" t="s">
        <v>262</v>
      </c>
      <c r="C267" s="297"/>
      <c r="D267" s="297"/>
      <c r="E267" s="297"/>
      <c r="F267" s="297"/>
      <c r="G267" s="298"/>
      <c r="H267" s="298"/>
      <c r="I267" s="298"/>
      <c r="J267" s="298"/>
      <c r="K267" s="298"/>
      <c r="L267" s="298"/>
      <c r="M267" s="298"/>
      <c r="N267" s="298"/>
      <c r="O267" s="298"/>
      <c r="P267" s="298"/>
      <c r="Q267" s="298"/>
      <c r="R267" s="298"/>
      <c r="S267" s="298"/>
      <c r="T267" s="298"/>
      <c r="U267" s="298"/>
      <c r="V267" s="298"/>
      <c r="W267" s="298"/>
      <c r="X267" s="298"/>
      <c r="Y267" s="298"/>
      <c r="Z267" s="298"/>
      <c r="AA267" s="298"/>
    </row>
    <row r="268" spans="2:28" x14ac:dyDescent="0.3">
      <c r="B268" s="299" t="s">
        <v>263</v>
      </c>
      <c r="C268" s="300">
        <v>1938</v>
      </c>
      <c r="D268" s="286">
        <v>1.9</v>
      </c>
      <c r="E268" s="287"/>
      <c r="F268" s="299"/>
      <c r="G268" s="288">
        <v>7849.8739999999998</v>
      </c>
      <c r="H268" s="288">
        <v>8621.2659999999996</v>
      </c>
      <c r="I268" s="288">
        <v>8717.6899999999987</v>
      </c>
      <c r="J268" s="288">
        <v>8548.19</v>
      </c>
      <c r="K268" s="288">
        <v>6937.6459999999988</v>
      </c>
      <c r="L268" s="288">
        <v>8959.4909999999982</v>
      </c>
      <c r="M268" s="288">
        <v>5032.6009999999997</v>
      </c>
      <c r="N268" s="288">
        <v>8563.4409999999989</v>
      </c>
      <c r="O268" s="288">
        <f t="shared" si="128"/>
        <v>7518.5109999999986</v>
      </c>
      <c r="P268" s="288">
        <f t="shared" ref="P268:AA270" si="131">+O268</f>
        <v>7518.5109999999986</v>
      </c>
      <c r="Q268" s="288">
        <f t="shared" si="131"/>
        <v>7518.5109999999986</v>
      </c>
      <c r="R268" s="288">
        <f t="shared" si="131"/>
        <v>7518.5109999999986</v>
      </c>
      <c r="S268" s="288">
        <f t="shared" si="131"/>
        <v>7518.5109999999986</v>
      </c>
      <c r="T268" s="288">
        <f t="shared" si="131"/>
        <v>7518.5109999999986</v>
      </c>
      <c r="U268" s="288">
        <f t="shared" si="131"/>
        <v>7518.5109999999986</v>
      </c>
      <c r="V268" s="288">
        <f t="shared" si="131"/>
        <v>7518.5109999999986</v>
      </c>
      <c r="W268" s="288">
        <f t="shared" si="131"/>
        <v>7518.5109999999986</v>
      </c>
      <c r="X268" s="288">
        <f t="shared" si="131"/>
        <v>7518.5109999999986</v>
      </c>
      <c r="Y268" s="288">
        <f t="shared" si="131"/>
        <v>7518.5109999999986</v>
      </c>
      <c r="Z268" s="288">
        <f t="shared" si="131"/>
        <v>7518.5109999999986</v>
      </c>
      <c r="AA268" s="288">
        <f t="shared" si="131"/>
        <v>7518.5109999999986</v>
      </c>
    </row>
    <row r="269" spans="2:28" x14ac:dyDescent="0.3">
      <c r="B269" s="299" t="s">
        <v>264</v>
      </c>
      <c r="C269" s="300">
        <v>1941</v>
      </c>
      <c r="D269" s="286">
        <v>1.47</v>
      </c>
      <c r="E269" s="287"/>
      <c r="F269" s="299"/>
      <c r="G269" s="288">
        <v>6640.692</v>
      </c>
      <c r="H269" s="288">
        <v>7153.3130000000001</v>
      </c>
      <c r="I269" s="288">
        <v>7359.0120000000006</v>
      </c>
      <c r="J269" s="288">
        <v>7028.0189999999984</v>
      </c>
      <c r="K269" s="288">
        <v>5548.0110000000004</v>
      </c>
      <c r="L269" s="288">
        <v>7037.5190000000011</v>
      </c>
      <c r="M269" s="288">
        <v>3451.9039999999995</v>
      </c>
      <c r="N269" s="288">
        <v>6239.6179999999995</v>
      </c>
      <c r="O269" s="288">
        <f t="shared" si="128"/>
        <v>5576.3470000000007</v>
      </c>
      <c r="P269" s="288">
        <f t="shared" si="131"/>
        <v>5576.3470000000007</v>
      </c>
      <c r="Q269" s="288">
        <f t="shared" si="131"/>
        <v>5576.3470000000007</v>
      </c>
      <c r="R269" s="288">
        <f t="shared" si="131"/>
        <v>5576.3470000000007</v>
      </c>
      <c r="S269" s="288">
        <f t="shared" si="131"/>
        <v>5576.3470000000007</v>
      </c>
      <c r="T269" s="288">
        <f t="shared" si="131"/>
        <v>5576.3470000000007</v>
      </c>
      <c r="U269" s="288">
        <f t="shared" si="131"/>
        <v>5576.3470000000007</v>
      </c>
      <c r="V269" s="288">
        <f t="shared" si="131"/>
        <v>5576.3470000000007</v>
      </c>
      <c r="W269" s="288">
        <f t="shared" si="131"/>
        <v>5576.3470000000007</v>
      </c>
      <c r="X269" s="288">
        <f t="shared" si="131"/>
        <v>5576.3470000000007</v>
      </c>
      <c r="Y269" s="288">
        <f t="shared" si="131"/>
        <v>5576.3470000000007</v>
      </c>
      <c r="Z269" s="288">
        <f t="shared" si="131"/>
        <v>5576.3470000000007</v>
      </c>
      <c r="AA269" s="288">
        <f t="shared" si="131"/>
        <v>5576.3470000000007</v>
      </c>
    </row>
    <row r="270" spans="2:28" x14ac:dyDescent="0.3">
      <c r="B270" s="299" t="s">
        <v>265</v>
      </c>
      <c r="C270" s="300">
        <v>1998</v>
      </c>
      <c r="D270" s="286">
        <v>3.44</v>
      </c>
      <c r="E270" s="287"/>
      <c r="F270" s="299"/>
      <c r="G270" s="288">
        <v>21561.253000000001</v>
      </c>
      <c r="H270" s="288">
        <v>20814.348000000002</v>
      </c>
      <c r="I270" s="288">
        <v>22706.515999999996</v>
      </c>
      <c r="J270" s="288">
        <v>22174.722999999998</v>
      </c>
      <c r="K270" s="288">
        <v>20967.522999999997</v>
      </c>
      <c r="L270" s="288">
        <v>23605.780999999999</v>
      </c>
      <c r="M270" s="288">
        <v>18889.346000000001</v>
      </c>
      <c r="N270" s="288">
        <v>20402.677000000003</v>
      </c>
      <c r="O270" s="288">
        <f t="shared" si="128"/>
        <v>20965.934666666668</v>
      </c>
      <c r="P270" s="288">
        <f t="shared" si="131"/>
        <v>20965.934666666668</v>
      </c>
      <c r="Q270" s="288">
        <f t="shared" si="131"/>
        <v>20965.934666666668</v>
      </c>
      <c r="R270" s="288">
        <f t="shared" si="131"/>
        <v>20965.934666666668</v>
      </c>
      <c r="S270" s="288">
        <f t="shared" si="131"/>
        <v>20965.934666666668</v>
      </c>
      <c r="T270" s="288">
        <f t="shared" si="131"/>
        <v>20965.934666666668</v>
      </c>
      <c r="U270" s="288">
        <f t="shared" si="131"/>
        <v>20965.934666666668</v>
      </c>
      <c r="V270" s="288">
        <f t="shared" si="131"/>
        <v>20965.934666666668</v>
      </c>
      <c r="W270" s="288">
        <f t="shared" si="131"/>
        <v>20965.934666666668</v>
      </c>
      <c r="X270" s="288">
        <f t="shared" si="131"/>
        <v>20965.934666666668</v>
      </c>
      <c r="Y270" s="288">
        <f t="shared" si="131"/>
        <v>20965.934666666668</v>
      </c>
      <c r="Z270" s="288">
        <f t="shared" si="131"/>
        <v>20965.934666666668</v>
      </c>
      <c r="AA270" s="288">
        <f t="shared" si="131"/>
        <v>20965.934666666668</v>
      </c>
    </row>
    <row r="271" spans="2:28" x14ac:dyDescent="0.3">
      <c r="B271" s="297" t="s">
        <v>266</v>
      </c>
      <c r="C271" s="297"/>
      <c r="D271" s="297"/>
      <c r="E271" s="297"/>
      <c r="F271" s="297"/>
      <c r="G271" s="298"/>
      <c r="H271" s="298"/>
      <c r="I271" s="298"/>
      <c r="J271" s="298"/>
      <c r="K271" s="298"/>
      <c r="L271" s="298"/>
      <c r="M271" s="298"/>
      <c r="N271" s="298"/>
      <c r="O271" s="298"/>
      <c r="P271" s="298"/>
      <c r="Q271" s="298"/>
      <c r="R271" s="298"/>
      <c r="S271" s="298"/>
      <c r="T271" s="298"/>
      <c r="U271" s="298"/>
      <c r="V271" s="298"/>
      <c r="W271" s="298"/>
      <c r="X271" s="298"/>
      <c r="Y271" s="298"/>
      <c r="Z271" s="298"/>
      <c r="AA271" s="298"/>
    </row>
    <row r="272" spans="2:28" x14ac:dyDescent="0.3">
      <c r="B272" s="299" t="s">
        <v>267</v>
      </c>
      <c r="C272" s="300">
        <v>1974</v>
      </c>
      <c r="D272" s="286">
        <v>13.653</v>
      </c>
      <c r="E272" s="287"/>
      <c r="F272" s="299"/>
      <c r="G272" s="288">
        <v>79039.576000000001</v>
      </c>
      <c r="H272" s="288">
        <v>58254.008999999998</v>
      </c>
      <c r="I272" s="288">
        <v>51281.207999999999</v>
      </c>
      <c r="J272" s="288">
        <v>86457.891000000003</v>
      </c>
      <c r="K272" s="288">
        <v>85493.885999999984</v>
      </c>
      <c r="L272" s="288">
        <v>81648.601999999999</v>
      </c>
      <c r="M272" s="288">
        <v>62691.474999999999</v>
      </c>
      <c r="N272" s="288">
        <v>85854.238000000012</v>
      </c>
      <c r="O272" s="288">
        <f t="shared" si="128"/>
        <v>76731.438333333339</v>
      </c>
      <c r="P272" s="288">
        <f t="shared" ref="P272:AA273" si="132">+O272</f>
        <v>76731.438333333339</v>
      </c>
      <c r="Q272" s="288">
        <f t="shared" si="132"/>
        <v>76731.438333333339</v>
      </c>
      <c r="R272" s="288">
        <f t="shared" si="132"/>
        <v>76731.438333333339</v>
      </c>
      <c r="S272" s="288">
        <f t="shared" si="132"/>
        <v>76731.438333333339</v>
      </c>
      <c r="T272" s="288">
        <f t="shared" si="132"/>
        <v>76731.438333333339</v>
      </c>
      <c r="U272" s="288">
        <f t="shared" si="132"/>
        <v>76731.438333333339</v>
      </c>
      <c r="V272" s="288">
        <f t="shared" si="132"/>
        <v>76731.438333333339</v>
      </c>
      <c r="W272" s="288">
        <f t="shared" si="132"/>
        <v>76731.438333333339</v>
      </c>
      <c r="X272" s="288">
        <f t="shared" si="132"/>
        <v>76731.438333333339</v>
      </c>
      <c r="Y272" s="288">
        <f t="shared" si="132"/>
        <v>76731.438333333339</v>
      </c>
      <c r="Z272" s="288">
        <f t="shared" si="132"/>
        <v>76731.438333333339</v>
      </c>
      <c r="AA272" s="288">
        <f t="shared" si="132"/>
        <v>76731.438333333339</v>
      </c>
    </row>
    <row r="273" spans="2:27" x14ac:dyDescent="0.3">
      <c r="B273" s="299" t="s">
        <v>268</v>
      </c>
      <c r="C273" s="300">
        <v>1974</v>
      </c>
      <c r="D273" s="286">
        <v>14.364000000000001</v>
      </c>
      <c r="E273" s="287"/>
      <c r="F273" s="299"/>
      <c r="G273" s="288">
        <v>81435.836999999985</v>
      </c>
      <c r="H273" s="288">
        <v>91507.437000000005</v>
      </c>
      <c r="I273" s="288">
        <v>83285.340000000011</v>
      </c>
      <c r="J273" s="288">
        <v>84764.018000000011</v>
      </c>
      <c r="K273" s="288">
        <v>77185.930999999997</v>
      </c>
      <c r="L273" s="288">
        <v>81079.112999999998</v>
      </c>
      <c r="M273" s="288">
        <v>67549.632999999987</v>
      </c>
      <c r="N273" s="288">
        <v>83617.593000000008</v>
      </c>
      <c r="O273" s="288">
        <f t="shared" si="128"/>
        <v>77415.446333333326</v>
      </c>
      <c r="P273" s="288">
        <f t="shared" si="132"/>
        <v>77415.446333333326</v>
      </c>
      <c r="Q273" s="288">
        <f t="shared" si="132"/>
        <v>77415.446333333326</v>
      </c>
      <c r="R273" s="288">
        <f t="shared" si="132"/>
        <v>77415.446333333326</v>
      </c>
      <c r="S273" s="288">
        <f t="shared" si="132"/>
        <v>77415.446333333326</v>
      </c>
      <c r="T273" s="288">
        <f t="shared" si="132"/>
        <v>77415.446333333326</v>
      </c>
      <c r="U273" s="288">
        <f t="shared" si="132"/>
        <v>77415.446333333326</v>
      </c>
      <c r="V273" s="288">
        <f t="shared" si="132"/>
        <v>77415.446333333326</v>
      </c>
      <c r="W273" s="288">
        <f t="shared" si="132"/>
        <v>77415.446333333326</v>
      </c>
      <c r="X273" s="288">
        <f t="shared" si="132"/>
        <v>77415.446333333326</v>
      </c>
      <c r="Y273" s="288">
        <f t="shared" si="132"/>
        <v>77415.446333333326</v>
      </c>
      <c r="Z273" s="288">
        <f t="shared" si="132"/>
        <v>77415.446333333326</v>
      </c>
      <c r="AA273" s="288">
        <f t="shared" si="132"/>
        <v>77415.446333333326</v>
      </c>
    </row>
    <row r="274" spans="2:27" x14ac:dyDescent="0.3">
      <c r="B274" s="297" t="s">
        <v>269</v>
      </c>
      <c r="C274" s="297"/>
      <c r="D274" s="297"/>
      <c r="E274" s="297"/>
      <c r="F274" s="297"/>
      <c r="G274" s="298"/>
      <c r="H274" s="298"/>
      <c r="I274" s="298"/>
      <c r="J274" s="298"/>
      <c r="K274" s="298"/>
      <c r="L274" s="298"/>
      <c r="M274" s="298"/>
      <c r="N274" s="298"/>
      <c r="O274" s="298"/>
      <c r="P274" s="298"/>
      <c r="Q274" s="298"/>
      <c r="R274" s="298"/>
      <c r="S274" s="298"/>
      <c r="T274" s="298"/>
      <c r="U274" s="298"/>
      <c r="V274" s="298"/>
      <c r="W274" s="298"/>
      <c r="X274" s="298"/>
      <c r="Y274" s="298"/>
      <c r="Z274" s="298"/>
      <c r="AA274" s="298"/>
    </row>
    <row r="275" spans="2:27" x14ac:dyDescent="0.3">
      <c r="B275" s="299" t="s">
        <v>270</v>
      </c>
      <c r="C275" s="300">
        <v>1958</v>
      </c>
      <c r="D275" s="286">
        <v>6.13</v>
      </c>
      <c r="E275" s="287"/>
      <c r="F275" s="299"/>
      <c r="G275" s="288">
        <v>43231.955000000002</v>
      </c>
      <c r="H275" s="288">
        <v>41999.478999999999</v>
      </c>
      <c r="I275" s="288">
        <v>43164.040999999997</v>
      </c>
      <c r="J275" s="288">
        <v>45495.326000000001</v>
      </c>
      <c r="K275" s="288">
        <v>43258.477999999996</v>
      </c>
      <c r="L275" s="288">
        <v>41867.756999999991</v>
      </c>
      <c r="M275" s="288">
        <v>36040.239999999998</v>
      </c>
      <c r="N275" s="288">
        <v>41074.044999999998</v>
      </c>
      <c r="O275" s="288">
        <f t="shared" si="128"/>
        <v>39660.68066666666</v>
      </c>
      <c r="P275" s="288">
        <f>+O275</f>
        <v>39660.68066666666</v>
      </c>
      <c r="Q275" s="288">
        <f t="shared" ref="Q275:AA275" si="133">+P275</f>
        <v>39660.68066666666</v>
      </c>
      <c r="R275" s="288">
        <f t="shared" si="133"/>
        <v>39660.68066666666</v>
      </c>
      <c r="S275" s="288">
        <f t="shared" si="133"/>
        <v>39660.68066666666</v>
      </c>
      <c r="T275" s="288">
        <f t="shared" si="133"/>
        <v>39660.68066666666</v>
      </c>
      <c r="U275" s="288">
        <f t="shared" si="133"/>
        <v>39660.68066666666</v>
      </c>
      <c r="V275" s="288">
        <f t="shared" si="133"/>
        <v>39660.68066666666</v>
      </c>
      <c r="W275" s="288">
        <f t="shared" si="133"/>
        <v>39660.68066666666</v>
      </c>
      <c r="X275" s="288">
        <f t="shared" si="133"/>
        <v>39660.68066666666</v>
      </c>
      <c r="Y275" s="288">
        <f t="shared" si="133"/>
        <v>39660.68066666666</v>
      </c>
      <c r="Z275" s="288">
        <f t="shared" si="133"/>
        <v>39660.68066666666</v>
      </c>
      <c r="AA275" s="288">
        <f t="shared" si="133"/>
        <v>39660.68066666666</v>
      </c>
    </row>
    <row r="276" spans="2:27" x14ac:dyDescent="0.3">
      <c r="B276" s="297" t="s">
        <v>271</v>
      </c>
      <c r="C276" s="308" t="s">
        <v>272</v>
      </c>
      <c r="D276" s="336">
        <v>38.4</v>
      </c>
      <c r="E276" s="297"/>
      <c r="F276" s="297"/>
      <c r="G276" s="298"/>
      <c r="H276" s="298"/>
      <c r="I276" s="298"/>
      <c r="J276" s="298"/>
      <c r="K276" s="298"/>
      <c r="L276" s="298"/>
      <c r="M276" s="298"/>
      <c r="N276" s="298"/>
      <c r="O276" s="298"/>
      <c r="P276" s="298"/>
      <c r="Q276" s="298"/>
      <c r="R276" s="298"/>
      <c r="S276" s="298"/>
      <c r="T276" s="298"/>
      <c r="U276" s="298"/>
      <c r="V276" s="298"/>
      <c r="W276" s="298"/>
      <c r="X276" s="298"/>
      <c r="Y276" s="298"/>
      <c r="Z276" s="298"/>
      <c r="AA276" s="298"/>
    </row>
    <row r="277" spans="2:27" x14ac:dyDescent="0.3">
      <c r="B277" s="299" t="s">
        <v>273</v>
      </c>
      <c r="C277" s="300"/>
      <c r="D277" s="337"/>
      <c r="E277" s="287"/>
      <c r="F277" s="299"/>
      <c r="G277" s="288">
        <v>5956.3567500000081</v>
      </c>
      <c r="H277" s="288">
        <v>3270.2496729999998</v>
      </c>
      <c r="I277" s="288">
        <v>5549.0742733333336</v>
      </c>
      <c r="J277" s="288">
        <v>3766.9215449999997</v>
      </c>
      <c r="K277" s="288">
        <v>4567.3325349999996</v>
      </c>
      <c r="L277" s="288">
        <v>1658.2380349999999</v>
      </c>
      <c r="M277" s="288">
        <v>38.668450000000043</v>
      </c>
      <c r="N277" s="288">
        <v>0</v>
      </c>
      <c r="O277" s="288">
        <f t="shared" si="128"/>
        <v>565.63549499999999</v>
      </c>
      <c r="P277" s="288">
        <f t="shared" ref="P277:AA278" si="134">+O277</f>
        <v>565.63549499999999</v>
      </c>
      <c r="Q277" s="288">
        <f t="shared" si="134"/>
        <v>565.63549499999999</v>
      </c>
      <c r="R277" s="288">
        <f t="shared" si="134"/>
        <v>565.63549499999999</v>
      </c>
      <c r="S277" s="288">
        <f t="shared" si="134"/>
        <v>565.63549499999999</v>
      </c>
      <c r="T277" s="288">
        <f t="shared" si="134"/>
        <v>565.63549499999999</v>
      </c>
      <c r="U277" s="288">
        <f t="shared" si="134"/>
        <v>565.63549499999999</v>
      </c>
      <c r="V277" s="288">
        <f t="shared" si="134"/>
        <v>565.63549499999999</v>
      </c>
      <c r="W277" s="288">
        <f t="shared" si="134"/>
        <v>565.63549499999999</v>
      </c>
      <c r="X277" s="288">
        <f t="shared" si="134"/>
        <v>565.63549499999999</v>
      </c>
      <c r="Y277" s="288">
        <f t="shared" si="134"/>
        <v>565.63549499999999</v>
      </c>
      <c r="Z277" s="288">
        <f t="shared" si="134"/>
        <v>565.63549499999999</v>
      </c>
      <c r="AA277" s="288">
        <f t="shared" si="134"/>
        <v>565.63549499999999</v>
      </c>
    </row>
    <row r="278" spans="2:27" x14ac:dyDescent="0.3">
      <c r="B278" s="299" t="s">
        <v>274</v>
      </c>
      <c r="C278" s="300"/>
      <c r="D278" s="337"/>
      <c r="E278" s="287"/>
      <c r="F278" s="299"/>
      <c r="G278" s="288">
        <v>106123.25798427663</v>
      </c>
      <c r="H278" s="288">
        <v>124388.162</v>
      </c>
      <c r="I278" s="288">
        <v>135330.64200000002</v>
      </c>
      <c r="J278" s="288">
        <v>141958.08270668716</v>
      </c>
      <c r="K278" s="288">
        <v>127364.10300000003</v>
      </c>
      <c r="L278" s="288">
        <v>130614.54000000001</v>
      </c>
      <c r="M278" s="288">
        <v>50256.089999999975</v>
      </c>
      <c r="N278" s="288">
        <v>127227.77000000002</v>
      </c>
      <c r="O278" s="288">
        <f t="shared" si="128"/>
        <v>102699.46666666667</v>
      </c>
      <c r="P278" s="288">
        <f t="shared" si="134"/>
        <v>102699.46666666667</v>
      </c>
      <c r="Q278" s="288">
        <f t="shared" si="134"/>
        <v>102699.46666666667</v>
      </c>
      <c r="R278" s="288">
        <f t="shared" si="134"/>
        <v>102699.46666666667</v>
      </c>
      <c r="S278" s="288">
        <f t="shared" si="134"/>
        <v>102699.46666666667</v>
      </c>
      <c r="T278" s="288">
        <f t="shared" si="134"/>
        <v>102699.46666666667</v>
      </c>
      <c r="U278" s="288">
        <f t="shared" si="134"/>
        <v>102699.46666666667</v>
      </c>
      <c r="V278" s="288">
        <f t="shared" si="134"/>
        <v>102699.46666666667</v>
      </c>
      <c r="W278" s="288">
        <f t="shared" si="134"/>
        <v>102699.46666666667</v>
      </c>
      <c r="X278" s="288">
        <f t="shared" si="134"/>
        <v>102699.46666666667</v>
      </c>
      <c r="Y278" s="288">
        <f t="shared" si="134"/>
        <v>102699.46666666667</v>
      </c>
      <c r="Z278" s="288">
        <f t="shared" si="134"/>
        <v>102699.46666666667</v>
      </c>
      <c r="AA278" s="288">
        <f t="shared" si="134"/>
        <v>102699.46666666667</v>
      </c>
    </row>
    <row r="279" spans="2:27" x14ac:dyDescent="0.3">
      <c r="B279" s="297" t="s">
        <v>275</v>
      </c>
      <c r="C279" s="308"/>
      <c r="D279" s="297"/>
      <c r="E279" s="297"/>
      <c r="F279" s="297"/>
      <c r="G279" s="298"/>
      <c r="H279" s="298"/>
      <c r="I279" s="298"/>
      <c r="J279" s="298"/>
      <c r="K279" s="298"/>
      <c r="L279" s="298"/>
      <c r="M279" s="298"/>
      <c r="N279" s="298"/>
      <c r="O279" s="298"/>
      <c r="P279" s="298"/>
      <c r="Q279" s="298"/>
      <c r="R279" s="298"/>
      <c r="S279" s="298"/>
      <c r="T279" s="298"/>
      <c r="U279" s="298"/>
      <c r="V279" s="298"/>
      <c r="W279" s="298"/>
      <c r="X279" s="298"/>
      <c r="Y279" s="298"/>
      <c r="Z279" s="298"/>
      <c r="AA279" s="298"/>
    </row>
    <row r="280" spans="2:27" x14ac:dyDescent="0.3">
      <c r="B280" s="299" t="s">
        <v>276</v>
      </c>
      <c r="C280" s="300">
        <v>1939</v>
      </c>
      <c r="D280" s="286">
        <v>1.91</v>
      </c>
      <c r="E280" s="287"/>
      <c r="F280" s="299"/>
      <c r="G280" s="288">
        <v>12172.712</v>
      </c>
      <c r="H280" s="288">
        <v>11726.216</v>
      </c>
      <c r="I280" s="288">
        <v>12408.229999999998</v>
      </c>
      <c r="J280" s="288">
        <v>12482.189999999999</v>
      </c>
      <c r="K280" s="288">
        <v>11577.643</v>
      </c>
      <c r="L280" s="288">
        <v>11539.983</v>
      </c>
      <c r="M280" s="288">
        <v>9108.7590000000018</v>
      </c>
      <c r="N280" s="288">
        <v>10812.361999999999</v>
      </c>
      <c r="O280" s="288">
        <f t="shared" si="128"/>
        <v>10487.034666666666</v>
      </c>
      <c r="P280" s="288">
        <f t="shared" ref="P280:AA281" si="135">+O280</f>
        <v>10487.034666666666</v>
      </c>
      <c r="Q280" s="288">
        <f t="shared" si="135"/>
        <v>10487.034666666666</v>
      </c>
      <c r="R280" s="288">
        <f t="shared" si="135"/>
        <v>10487.034666666666</v>
      </c>
      <c r="S280" s="288">
        <f t="shared" si="135"/>
        <v>10487.034666666666</v>
      </c>
      <c r="T280" s="288">
        <f t="shared" si="135"/>
        <v>10487.034666666666</v>
      </c>
      <c r="U280" s="288">
        <f t="shared" si="135"/>
        <v>10487.034666666666</v>
      </c>
      <c r="V280" s="288">
        <f t="shared" si="135"/>
        <v>10487.034666666666</v>
      </c>
      <c r="W280" s="288">
        <f t="shared" si="135"/>
        <v>10487.034666666666</v>
      </c>
      <c r="X280" s="288">
        <f t="shared" si="135"/>
        <v>10487.034666666666</v>
      </c>
      <c r="Y280" s="288">
        <f t="shared" si="135"/>
        <v>10487.034666666666</v>
      </c>
      <c r="Z280" s="288">
        <f t="shared" si="135"/>
        <v>10487.034666666666</v>
      </c>
      <c r="AA280" s="288">
        <f t="shared" si="135"/>
        <v>10487.034666666666</v>
      </c>
    </row>
    <row r="281" spans="2:27" x14ac:dyDescent="0.3">
      <c r="B281" s="299" t="s">
        <v>277</v>
      </c>
      <c r="C281" s="300">
        <v>1944</v>
      </c>
      <c r="D281" s="286">
        <v>2.4500000000000002</v>
      </c>
      <c r="E281" s="287"/>
      <c r="F281" s="299"/>
      <c r="G281" s="288">
        <v>14106.915000000001</v>
      </c>
      <c r="H281" s="288">
        <v>13902.388999999999</v>
      </c>
      <c r="I281" s="288">
        <v>15012.157999999999</v>
      </c>
      <c r="J281" s="288">
        <v>15518.906999999997</v>
      </c>
      <c r="K281" s="288">
        <v>14227.504000000001</v>
      </c>
      <c r="L281" s="288">
        <v>14778.668000000003</v>
      </c>
      <c r="M281" s="288">
        <v>11847.556</v>
      </c>
      <c r="N281" s="288">
        <v>13785.387999999999</v>
      </c>
      <c r="O281" s="288">
        <f t="shared" si="128"/>
        <v>13470.537333333334</v>
      </c>
      <c r="P281" s="288">
        <f t="shared" si="135"/>
        <v>13470.537333333334</v>
      </c>
      <c r="Q281" s="288">
        <f t="shared" si="135"/>
        <v>13470.537333333334</v>
      </c>
      <c r="R281" s="288">
        <f t="shared" si="135"/>
        <v>13470.537333333334</v>
      </c>
      <c r="S281" s="288">
        <f t="shared" si="135"/>
        <v>13470.537333333334</v>
      </c>
      <c r="T281" s="288">
        <f t="shared" si="135"/>
        <v>13470.537333333334</v>
      </c>
      <c r="U281" s="288">
        <f t="shared" si="135"/>
        <v>13470.537333333334</v>
      </c>
      <c r="V281" s="288">
        <f t="shared" si="135"/>
        <v>13470.537333333334</v>
      </c>
      <c r="W281" s="288">
        <f t="shared" si="135"/>
        <v>13470.537333333334</v>
      </c>
      <c r="X281" s="288">
        <f t="shared" si="135"/>
        <v>13470.537333333334</v>
      </c>
      <c r="Y281" s="288">
        <f t="shared" si="135"/>
        <v>13470.537333333334</v>
      </c>
      <c r="Z281" s="288">
        <f t="shared" si="135"/>
        <v>13470.537333333334</v>
      </c>
      <c r="AA281" s="288">
        <f t="shared" si="135"/>
        <v>13470.537333333334</v>
      </c>
    </row>
    <row r="282" spans="2:27" x14ac:dyDescent="0.3">
      <c r="B282" s="299" t="s">
        <v>278</v>
      </c>
      <c r="C282" s="300">
        <v>1944</v>
      </c>
      <c r="D282" s="286">
        <v>1.84</v>
      </c>
      <c r="E282" s="287"/>
      <c r="F282" s="299"/>
      <c r="G282" s="288">
        <v>11843.383000000002</v>
      </c>
      <c r="H282" s="288">
        <v>11428.677</v>
      </c>
      <c r="I282" s="288">
        <v>12088.935999999998</v>
      </c>
      <c r="J282" s="288">
        <v>12150.215</v>
      </c>
      <c r="K282" s="288">
        <v>11142.393000000002</v>
      </c>
      <c r="L282" s="288">
        <v>11178.842000000001</v>
      </c>
      <c r="M282" s="288">
        <v>9006.9719999999979</v>
      </c>
      <c r="N282" s="288">
        <v>10677.777000000002</v>
      </c>
      <c r="O282" s="288">
        <f>+AVERAGE(L282:N282)</f>
        <v>10287.863666666666</v>
      </c>
      <c r="P282" s="288"/>
      <c r="Q282" s="288"/>
      <c r="R282" s="288"/>
      <c r="S282" s="288"/>
      <c r="T282" s="288"/>
      <c r="U282" s="288"/>
      <c r="V282" s="288"/>
      <c r="W282" s="288"/>
      <c r="X282" s="288"/>
      <c r="Y282" s="288"/>
      <c r="Z282" s="288"/>
      <c r="AA282" s="288"/>
    </row>
    <row r="283" spans="2:27" x14ac:dyDescent="0.3">
      <c r="B283" s="297" t="s">
        <v>279</v>
      </c>
      <c r="C283" s="308"/>
      <c r="D283" s="297"/>
      <c r="E283" s="297"/>
      <c r="F283" s="297"/>
      <c r="G283" s="298"/>
      <c r="H283" s="298"/>
      <c r="I283" s="298"/>
      <c r="J283" s="298"/>
      <c r="K283" s="298"/>
      <c r="L283" s="298"/>
      <c r="M283" s="298"/>
      <c r="N283" s="298"/>
      <c r="O283" s="298"/>
      <c r="P283" s="298"/>
      <c r="Q283" s="298"/>
      <c r="R283" s="298"/>
      <c r="S283" s="298"/>
      <c r="T283" s="298"/>
      <c r="U283" s="298"/>
      <c r="V283" s="298"/>
      <c r="W283" s="298"/>
      <c r="X283" s="298"/>
      <c r="Y283" s="298"/>
      <c r="Z283" s="298"/>
      <c r="AA283" s="298"/>
    </row>
    <row r="284" spans="2:27" x14ac:dyDescent="0.3">
      <c r="B284" s="299" t="s">
        <v>280</v>
      </c>
      <c r="C284" s="300">
        <v>1966</v>
      </c>
      <c r="D284" s="286">
        <v>13.18</v>
      </c>
      <c r="E284" s="299"/>
      <c r="F284" s="299"/>
      <c r="G284" s="288">
        <v>63528.492000000006</v>
      </c>
      <c r="H284" s="288">
        <v>66072.78</v>
      </c>
      <c r="I284" s="288">
        <v>69551.442999999999</v>
      </c>
      <c r="J284" s="288">
        <v>71908.643000000011</v>
      </c>
      <c r="K284" s="288">
        <v>64762.602000000014</v>
      </c>
      <c r="L284" s="288">
        <v>71255.490000000005</v>
      </c>
      <c r="M284" s="288">
        <v>53061.766000000011</v>
      </c>
      <c r="N284" s="288">
        <v>68171.011999999988</v>
      </c>
      <c r="O284" s="288">
        <f t="shared" ref="O284:O285" si="136">+AVERAGE(L284:N284)</f>
        <v>64162.756000000001</v>
      </c>
      <c r="P284" s="288">
        <f t="shared" ref="P284:AA285" si="137">+O284</f>
        <v>64162.756000000001</v>
      </c>
      <c r="Q284" s="288">
        <f t="shared" si="137"/>
        <v>64162.756000000001</v>
      </c>
      <c r="R284" s="288">
        <f t="shared" si="137"/>
        <v>64162.756000000001</v>
      </c>
      <c r="S284" s="288">
        <f t="shared" si="137"/>
        <v>64162.756000000001</v>
      </c>
      <c r="T284" s="288">
        <f t="shared" si="137"/>
        <v>64162.756000000001</v>
      </c>
      <c r="U284" s="288">
        <f t="shared" si="137"/>
        <v>64162.756000000001</v>
      </c>
      <c r="V284" s="288">
        <f t="shared" si="137"/>
        <v>64162.756000000001</v>
      </c>
      <c r="W284" s="288">
        <f t="shared" si="137"/>
        <v>64162.756000000001</v>
      </c>
      <c r="X284" s="288">
        <f t="shared" si="137"/>
        <v>64162.756000000001</v>
      </c>
      <c r="Y284" s="288">
        <f t="shared" si="137"/>
        <v>64162.756000000001</v>
      </c>
      <c r="Z284" s="288">
        <f t="shared" si="137"/>
        <v>64162.756000000001</v>
      </c>
      <c r="AA284" s="288">
        <f t="shared" si="137"/>
        <v>64162.756000000001</v>
      </c>
    </row>
    <row r="285" spans="2:27" x14ac:dyDescent="0.3">
      <c r="B285" s="299" t="s">
        <v>281</v>
      </c>
      <c r="C285" s="300">
        <v>1967</v>
      </c>
      <c r="D285" s="286">
        <v>12.21</v>
      </c>
      <c r="E285" s="299"/>
      <c r="F285" s="299"/>
      <c r="G285" s="288">
        <v>62589.967000000004</v>
      </c>
      <c r="H285" s="288">
        <v>67733.377999999997</v>
      </c>
      <c r="I285" s="288">
        <v>64736.137999999999</v>
      </c>
      <c r="J285" s="288">
        <v>72200.594999999987</v>
      </c>
      <c r="K285" s="288">
        <v>62725.933999999994</v>
      </c>
      <c r="L285" s="288">
        <v>67719.197</v>
      </c>
      <c r="M285" s="288">
        <v>53897.992999999995</v>
      </c>
      <c r="N285" s="288">
        <v>66329.928</v>
      </c>
      <c r="O285" s="288">
        <f t="shared" si="136"/>
        <v>62649.039333333341</v>
      </c>
      <c r="P285" s="288">
        <f t="shared" si="137"/>
        <v>62649.039333333341</v>
      </c>
      <c r="Q285" s="288">
        <f t="shared" si="137"/>
        <v>62649.039333333341</v>
      </c>
      <c r="R285" s="288">
        <f t="shared" si="137"/>
        <v>62649.039333333341</v>
      </c>
      <c r="S285" s="288">
        <f t="shared" si="137"/>
        <v>62649.039333333341</v>
      </c>
      <c r="T285" s="288">
        <f t="shared" si="137"/>
        <v>62649.039333333341</v>
      </c>
      <c r="U285" s="288">
        <f t="shared" si="137"/>
        <v>62649.039333333341</v>
      </c>
      <c r="V285" s="288">
        <f t="shared" si="137"/>
        <v>62649.039333333341</v>
      </c>
      <c r="W285" s="288">
        <f t="shared" si="137"/>
        <v>62649.039333333341</v>
      </c>
      <c r="X285" s="288">
        <f t="shared" si="137"/>
        <v>62649.039333333341</v>
      </c>
      <c r="Y285" s="288">
        <f t="shared" si="137"/>
        <v>62649.039333333341</v>
      </c>
      <c r="Z285" s="288">
        <f t="shared" si="137"/>
        <v>62649.039333333341</v>
      </c>
      <c r="AA285" s="288">
        <f t="shared" si="137"/>
        <v>62649.039333333341</v>
      </c>
    </row>
    <row r="286" spans="2:27" x14ac:dyDescent="0.3">
      <c r="B286" s="297" t="s">
        <v>282</v>
      </c>
      <c r="C286" s="308"/>
      <c r="D286" s="297"/>
      <c r="E286" s="297"/>
      <c r="F286" s="297"/>
      <c r="G286" s="298"/>
      <c r="H286" s="298"/>
      <c r="I286" s="298"/>
      <c r="J286" s="298"/>
      <c r="K286" s="298"/>
      <c r="L286" s="298"/>
      <c r="M286" s="298"/>
      <c r="N286" s="298"/>
      <c r="O286" s="298"/>
      <c r="P286" s="298"/>
      <c r="Q286" s="298"/>
      <c r="R286" s="298"/>
      <c r="S286" s="298"/>
      <c r="T286" s="298"/>
      <c r="U286" s="298"/>
      <c r="V286" s="298"/>
      <c r="W286" s="298"/>
      <c r="X286" s="298"/>
      <c r="Y286" s="298"/>
      <c r="Z286" s="298"/>
      <c r="AA286" s="298"/>
    </row>
    <row r="287" spans="2:27" x14ac:dyDescent="0.3">
      <c r="B287" s="299" t="s">
        <v>283</v>
      </c>
      <c r="C287" s="300" t="s">
        <v>284</v>
      </c>
      <c r="D287" s="286">
        <v>64.319999999999993</v>
      </c>
      <c r="E287" s="299"/>
      <c r="F287" s="299"/>
      <c r="G287" s="288">
        <v>280767.663</v>
      </c>
      <c r="H287" s="288">
        <v>317689.14</v>
      </c>
      <c r="I287" s="288">
        <v>325459.11999999994</v>
      </c>
      <c r="J287" s="288">
        <v>373791.26</v>
      </c>
      <c r="K287" s="288">
        <v>371305.77999999997</v>
      </c>
      <c r="L287" s="288">
        <v>377176.696</v>
      </c>
      <c r="M287" s="288">
        <v>214629.93900000001</v>
      </c>
      <c r="N287" s="288">
        <v>284284.71100000001</v>
      </c>
      <c r="O287" s="288">
        <f>+AVERAGE(L287:N287)</f>
        <v>292030.44866666669</v>
      </c>
      <c r="P287" s="288">
        <f>+O287</f>
        <v>292030.44866666669</v>
      </c>
      <c r="Q287" s="288">
        <f t="shared" ref="Q287:AA287" si="138">+P287</f>
        <v>292030.44866666669</v>
      </c>
      <c r="R287" s="288">
        <f t="shared" si="138"/>
        <v>292030.44866666669</v>
      </c>
      <c r="S287" s="288">
        <f t="shared" si="138"/>
        <v>292030.44866666669</v>
      </c>
      <c r="T287" s="288">
        <f t="shared" si="138"/>
        <v>292030.44866666669</v>
      </c>
      <c r="U287" s="288">
        <f t="shared" si="138"/>
        <v>292030.44866666669</v>
      </c>
      <c r="V287" s="288">
        <f t="shared" si="138"/>
        <v>292030.44866666669</v>
      </c>
      <c r="W287" s="288">
        <f t="shared" si="138"/>
        <v>292030.44866666669</v>
      </c>
      <c r="X287" s="288">
        <f t="shared" si="138"/>
        <v>292030.44866666669</v>
      </c>
      <c r="Y287" s="288">
        <f t="shared" si="138"/>
        <v>292030.44866666669</v>
      </c>
      <c r="Z287" s="288">
        <f t="shared" si="138"/>
        <v>292030.44866666669</v>
      </c>
      <c r="AA287" s="288">
        <f t="shared" si="138"/>
        <v>292030.44866666669</v>
      </c>
    </row>
    <row r="288" spans="2:27" x14ac:dyDescent="0.3">
      <c r="B288" s="297" t="s">
        <v>285</v>
      </c>
      <c r="C288" s="308"/>
      <c r="D288" s="297"/>
      <c r="E288" s="297"/>
      <c r="F288" s="297"/>
      <c r="G288" s="298"/>
      <c r="H288" s="298"/>
      <c r="I288" s="298"/>
      <c r="J288" s="298"/>
      <c r="K288" s="298"/>
      <c r="L288" s="298"/>
      <c r="M288" s="298"/>
      <c r="N288" s="298"/>
      <c r="O288" s="298"/>
      <c r="P288" s="298"/>
      <c r="Q288" s="298"/>
      <c r="R288" s="298"/>
      <c r="S288" s="298"/>
      <c r="T288" s="298"/>
      <c r="U288" s="298"/>
      <c r="V288" s="298"/>
      <c r="W288" s="298"/>
      <c r="X288" s="298"/>
      <c r="Y288" s="298"/>
      <c r="Z288" s="298"/>
      <c r="AA288" s="298"/>
    </row>
    <row r="289" spans="2:27" x14ac:dyDescent="0.3">
      <c r="B289" s="299" t="s">
        <v>286</v>
      </c>
      <c r="C289" s="300">
        <v>1942</v>
      </c>
      <c r="D289" s="286">
        <v>2.5</v>
      </c>
      <c r="E289" s="299"/>
      <c r="F289" s="299"/>
      <c r="G289" s="288">
        <v>7186.3240000000005</v>
      </c>
      <c r="H289" s="288">
        <v>9743.3469999999998</v>
      </c>
      <c r="I289" s="288">
        <v>9415.1349999999984</v>
      </c>
      <c r="J289" s="288">
        <v>6458.4300000000012</v>
      </c>
      <c r="K289" s="288">
        <v>5475.3140000000012</v>
      </c>
      <c r="L289" s="288">
        <v>14181.028999999999</v>
      </c>
      <c r="M289" s="288">
        <v>4440.6810000000005</v>
      </c>
      <c r="N289" s="288">
        <v>9498.8819999999996</v>
      </c>
      <c r="O289" s="288">
        <f>+AVERAGE(L289:N289)</f>
        <v>9373.5306666666656</v>
      </c>
      <c r="P289" s="288">
        <f t="shared" ref="P289:AA293" si="139">+O289</f>
        <v>9373.5306666666656</v>
      </c>
      <c r="Q289" s="288">
        <f t="shared" si="139"/>
        <v>9373.5306666666656</v>
      </c>
      <c r="R289" s="288">
        <f t="shared" si="139"/>
        <v>9373.5306666666656</v>
      </c>
      <c r="S289" s="288">
        <f t="shared" si="139"/>
        <v>9373.5306666666656</v>
      </c>
      <c r="T289" s="288">
        <f t="shared" si="139"/>
        <v>9373.5306666666656</v>
      </c>
      <c r="U289" s="288">
        <f t="shared" si="139"/>
        <v>9373.5306666666656</v>
      </c>
      <c r="V289" s="288">
        <f t="shared" si="139"/>
        <v>9373.5306666666656</v>
      </c>
      <c r="W289" s="288">
        <f t="shared" si="139"/>
        <v>9373.5306666666656</v>
      </c>
      <c r="X289" s="288">
        <f t="shared" si="139"/>
        <v>9373.5306666666656</v>
      </c>
      <c r="Y289" s="288">
        <f t="shared" si="139"/>
        <v>9373.5306666666656</v>
      </c>
      <c r="Z289" s="288">
        <f t="shared" si="139"/>
        <v>9373.5306666666656</v>
      </c>
      <c r="AA289" s="288">
        <f t="shared" si="139"/>
        <v>9373.5306666666656</v>
      </c>
    </row>
    <row r="290" spans="2:27" x14ac:dyDescent="0.3">
      <c r="B290" s="299" t="s">
        <v>287</v>
      </c>
      <c r="C290" s="300">
        <v>1943</v>
      </c>
      <c r="D290" s="286">
        <v>2.38</v>
      </c>
      <c r="E290" s="299"/>
      <c r="F290" s="299"/>
      <c r="G290" s="288">
        <v>6993.1389999999992</v>
      </c>
      <c r="H290" s="288">
        <v>9282.0769999999993</v>
      </c>
      <c r="I290" s="288">
        <v>8698.5240000000013</v>
      </c>
      <c r="J290" s="288">
        <v>5753.3399999999992</v>
      </c>
      <c r="K290" s="288">
        <v>4912.893</v>
      </c>
      <c r="L290" s="288">
        <v>12898.888999999999</v>
      </c>
      <c r="M290" s="288">
        <v>5619.9069999999992</v>
      </c>
      <c r="N290" s="288">
        <v>9023.6689999999999</v>
      </c>
      <c r="O290" s="288">
        <f t="shared" ref="O290:O299" si="140">+AVERAGE(L290:N290)</f>
        <v>9180.8216666666649</v>
      </c>
      <c r="P290" s="288">
        <f t="shared" si="139"/>
        <v>9180.8216666666649</v>
      </c>
      <c r="Q290" s="288">
        <f t="shared" si="139"/>
        <v>9180.8216666666649</v>
      </c>
      <c r="R290" s="288">
        <f t="shared" si="139"/>
        <v>9180.8216666666649</v>
      </c>
      <c r="S290" s="288">
        <f t="shared" si="139"/>
        <v>9180.8216666666649</v>
      </c>
      <c r="T290" s="288">
        <f t="shared" si="139"/>
        <v>9180.8216666666649</v>
      </c>
      <c r="U290" s="288">
        <f t="shared" si="139"/>
        <v>9180.8216666666649</v>
      </c>
      <c r="V290" s="288">
        <f t="shared" si="139"/>
        <v>9180.8216666666649</v>
      </c>
      <c r="W290" s="288">
        <f t="shared" si="139"/>
        <v>9180.8216666666649</v>
      </c>
      <c r="X290" s="288">
        <f t="shared" si="139"/>
        <v>9180.8216666666649</v>
      </c>
      <c r="Y290" s="288">
        <f t="shared" si="139"/>
        <v>9180.8216666666649</v>
      </c>
      <c r="Z290" s="288">
        <f t="shared" si="139"/>
        <v>9180.8216666666649</v>
      </c>
      <c r="AA290" s="288">
        <f t="shared" si="139"/>
        <v>9180.8216666666649</v>
      </c>
    </row>
    <row r="291" spans="2:27" x14ac:dyDescent="0.3">
      <c r="B291" s="299" t="s">
        <v>288</v>
      </c>
      <c r="C291" s="300">
        <v>1945</v>
      </c>
      <c r="D291" s="286">
        <v>2.2999999999999998</v>
      </c>
      <c r="E291" s="299"/>
      <c r="F291" s="299"/>
      <c r="G291" s="288">
        <v>6822.6170000000011</v>
      </c>
      <c r="H291" s="288">
        <v>9067.5030000000006</v>
      </c>
      <c r="I291" s="288">
        <v>8820.1739999999991</v>
      </c>
      <c r="J291" s="288">
        <v>6045.0469999999987</v>
      </c>
      <c r="K291" s="288">
        <v>5060.7860000000001</v>
      </c>
      <c r="L291" s="288">
        <v>13386.753999999999</v>
      </c>
      <c r="M291" s="288">
        <v>5422.3110000000006</v>
      </c>
      <c r="N291" s="288">
        <v>8865.5539999999983</v>
      </c>
      <c r="O291" s="288">
        <f t="shared" si="140"/>
        <v>9224.8729999999996</v>
      </c>
      <c r="P291" s="288">
        <f t="shared" si="139"/>
        <v>9224.8729999999996</v>
      </c>
      <c r="Q291" s="288">
        <f t="shared" si="139"/>
        <v>9224.8729999999996</v>
      </c>
      <c r="R291" s="288">
        <f t="shared" si="139"/>
        <v>9224.8729999999996</v>
      </c>
      <c r="S291" s="288">
        <f t="shared" si="139"/>
        <v>9224.8729999999996</v>
      </c>
      <c r="T291" s="288">
        <f t="shared" si="139"/>
        <v>9224.8729999999996</v>
      </c>
      <c r="U291" s="288">
        <f t="shared" si="139"/>
        <v>9224.8729999999996</v>
      </c>
      <c r="V291" s="288">
        <f t="shared" si="139"/>
        <v>9224.8729999999996</v>
      </c>
      <c r="W291" s="288">
        <f t="shared" si="139"/>
        <v>9224.8729999999996</v>
      </c>
      <c r="X291" s="288">
        <f t="shared" si="139"/>
        <v>9224.8729999999996</v>
      </c>
      <c r="Y291" s="288">
        <f t="shared" si="139"/>
        <v>9224.8729999999996</v>
      </c>
      <c r="Z291" s="288">
        <f t="shared" si="139"/>
        <v>9224.8729999999996</v>
      </c>
      <c r="AA291" s="288">
        <f t="shared" si="139"/>
        <v>9224.8729999999996</v>
      </c>
    </row>
    <row r="292" spans="2:27" x14ac:dyDescent="0.3">
      <c r="B292" s="299" t="s">
        <v>289</v>
      </c>
      <c r="C292" s="300">
        <v>1958</v>
      </c>
      <c r="D292" s="286">
        <v>1.49</v>
      </c>
      <c r="E292" s="299"/>
      <c r="F292" s="299"/>
      <c r="G292" s="288">
        <v>5297.4830000000002</v>
      </c>
      <c r="H292" s="288">
        <v>6581.7929999999997</v>
      </c>
      <c r="I292" s="288">
        <v>6336.6400000000012</v>
      </c>
      <c r="J292" s="288">
        <v>4570.0379999999996</v>
      </c>
      <c r="K292" s="288">
        <v>3245.1849999999999</v>
      </c>
      <c r="L292" s="288">
        <v>6687.3670912745001</v>
      </c>
      <c r="M292" s="288">
        <v>2561.4390000000003</v>
      </c>
      <c r="N292" s="288">
        <v>4531.527000000001</v>
      </c>
      <c r="O292" s="288">
        <f t="shared" si="140"/>
        <v>4593.4443637581671</v>
      </c>
      <c r="P292" s="288">
        <f t="shared" si="139"/>
        <v>4593.4443637581671</v>
      </c>
      <c r="Q292" s="288">
        <f t="shared" si="139"/>
        <v>4593.4443637581671</v>
      </c>
      <c r="R292" s="288">
        <f t="shared" si="139"/>
        <v>4593.4443637581671</v>
      </c>
      <c r="S292" s="288">
        <f t="shared" si="139"/>
        <v>4593.4443637581671</v>
      </c>
      <c r="T292" s="288">
        <f t="shared" si="139"/>
        <v>4593.4443637581671</v>
      </c>
      <c r="U292" s="288">
        <f t="shared" si="139"/>
        <v>4593.4443637581671</v>
      </c>
      <c r="V292" s="288">
        <f t="shared" si="139"/>
        <v>4593.4443637581671</v>
      </c>
      <c r="W292" s="288">
        <f t="shared" si="139"/>
        <v>4593.4443637581671</v>
      </c>
      <c r="X292" s="288">
        <f t="shared" si="139"/>
        <v>4593.4443637581671</v>
      </c>
      <c r="Y292" s="288">
        <f t="shared" si="139"/>
        <v>4593.4443637581671</v>
      </c>
      <c r="Z292" s="288">
        <f t="shared" si="139"/>
        <v>4593.4443637581671</v>
      </c>
      <c r="AA292" s="288">
        <f t="shared" si="139"/>
        <v>4593.4443637581671</v>
      </c>
    </row>
    <row r="293" spans="2:27" x14ac:dyDescent="0.3">
      <c r="B293" s="299" t="s">
        <v>290</v>
      </c>
      <c r="C293" s="300">
        <v>1998</v>
      </c>
      <c r="D293" s="286">
        <v>14.3</v>
      </c>
      <c r="E293" s="299"/>
      <c r="F293" s="299"/>
      <c r="G293" s="288">
        <v>90321.68</v>
      </c>
      <c r="H293" s="288">
        <v>94885.142000000007</v>
      </c>
      <c r="I293" s="288">
        <v>92591.819999999992</v>
      </c>
      <c r="J293" s="288">
        <v>80968.934000000008</v>
      </c>
      <c r="K293" s="288">
        <v>71783.653000000006</v>
      </c>
      <c r="L293" s="288">
        <v>80462.043000000005</v>
      </c>
      <c r="M293" s="288">
        <v>75993.778999999995</v>
      </c>
      <c r="N293" s="288">
        <v>96164.228000000003</v>
      </c>
      <c r="O293" s="288">
        <f t="shared" si="140"/>
        <v>84206.683333333334</v>
      </c>
      <c r="P293" s="288">
        <f t="shared" si="139"/>
        <v>84206.683333333334</v>
      </c>
      <c r="Q293" s="288">
        <f t="shared" si="139"/>
        <v>84206.683333333334</v>
      </c>
      <c r="R293" s="288">
        <f t="shared" si="139"/>
        <v>84206.683333333334</v>
      </c>
      <c r="S293" s="288">
        <f t="shared" si="139"/>
        <v>84206.683333333334</v>
      </c>
      <c r="T293" s="288">
        <f t="shared" si="139"/>
        <v>84206.683333333334</v>
      </c>
      <c r="U293" s="288">
        <f t="shared" si="139"/>
        <v>84206.683333333334</v>
      </c>
      <c r="V293" s="288">
        <f t="shared" si="139"/>
        <v>84206.683333333334</v>
      </c>
      <c r="W293" s="288">
        <f t="shared" si="139"/>
        <v>84206.683333333334</v>
      </c>
      <c r="X293" s="288">
        <f t="shared" si="139"/>
        <v>84206.683333333334</v>
      </c>
      <c r="Y293" s="288">
        <f t="shared" si="139"/>
        <v>84206.683333333334</v>
      </c>
      <c r="Z293" s="288">
        <f t="shared" si="139"/>
        <v>84206.683333333334</v>
      </c>
      <c r="AA293" s="288">
        <f t="shared" si="139"/>
        <v>84206.683333333334</v>
      </c>
    </row>
    <row r="294" spans="2:27" x14ac:dyDescent="0.3">
      <c r="B294" s="297" t="s">
        <v>291</v>
      </c>
      <c r="C294" s="308"/>
      <c r="D294" s="297"/>
      <c r="E294" s="297"/>
      <c r="F294" s="297"/>
      <c r="G294" s="298"/>
      <c r="H294" s="298"/>
      <c r="I294" s="298"/>
      <c r="J294" s="298"/>
      <c r="K294" s="298"/>
      <c r="L294" s="298"/>
      <c r="M294" s="298"/>
      <c r="N294" s="298"/>
      <c r="O294" s="298"/>
      <c r="P294" s="298"/>
      <c r="Q294" s="298"/>
      <c r="R294" s="298"/>
      <c r="S294" s="298"/>
      <c r="T294" s="298"/>
      <c r="U294" s="298"/>
      <c r="V294" s="298"/>
      <c r="W294" s="298"/>
      <c r="X294" s="298"/>
      <c r="Y294" s="298"/>
      <c r="Z294" s="298"/>
      <c r="AA294" s="298"/>
    </row>
    <row r="295" spans="2:27" x14ac:dyDescent="0.3">
      <c r="B295" s="299" t="s">
        <v>292</v>
      </c>
      <c r="C295" s="300">
        <v>1969</v>
      </c>
      <c r="D295" s="286">
        <v>13.53</v>
      </c>
      <c r="E295" s="299"/>
      <c r="F295" s="299"/>
      <c r="G295" s="288">
        <v>79080.590999999986</v>
      </c>
      <c r="H295" s="288">
        <v>83215.97</v>
      </c>
      <c r="I295" s="288">
        <v>78452.136999999988</v>
      </c>
      <c r="J295" s="288">
        <v>86076.892000000022</v>
      </c>
      <c r="K295" s="288">
        <v>78528.325000000012</v>
      </c>
      <c r="L295" s="288">
        <v>81849.416999999987</v>
      </c>
      <c r="M295" s="288">
        <v>63047.572</v>
      </c>
      <c r="N295" s="288">
        <v>79535.85500000001</v>
      </c>
      <c r="O295" s="288">
        <f t="shared" si="140"/>
        <v>74810.948000000004</v>
      </c>
      <c r="P295" s="288">
        <f t="shared" ref="P295:AA296" si="141">+O295</f>
        <v>74810.948000000004</v>
      </c>
      <c r="Q295" s="288">
        <f t="shared" si="141"/>
        <v>74810.948000000004</v>
      </c>
      <c r="R295" s="288">
        <f t="shared" si="141"/>
        <v>74810.948000000004</v>
      </c>
      <c r="S295" s="288">
        <f t="shared" si="141"/>
        <v>74810.948000000004</v>
      </c>
      <c r="T295" s="288">
        <f t="shared" si="141"/>
        <v>74810.948000000004</v>
      </c>
      <c r="U295" s="288">
        <f t="shared" si="141"/>
        <v>74810.948000000004</v>
      </c>
      <c r="V295" s="288">
        <f t="shared" si="141"/>
        <v>74810.948000000004</v>
      </c>
      <c r="W295" s="288">
        <f t="shared" si="141"/>
        <v>74810.948000000004</v>
      </c>
      <c r="X295" s="288">
        <f t="shared" si="141"/>
        <v>74810.948000000004</v>
      </c>
      <c r="Y295" s="288">
        <f t="shared" si="141"/>
        <v>74810.948000000004</v>
      </c>
      <c r="Z295" s="288">
        <f t="shared" si="141"/>
        <v>74810.948000000004</v>
      </c>
      <c r="AA295" s="288">
        <f t="shared" si="141"/>
        <v>74810.948000000004</v>
      </c>
    </row>
    <row r="296" spans="2:27" x14ac:dyDescent="0.3">
      <c r="B296" s="299" t="s">
        <v>293</v>
      </c>
      <c r="C296" s="300">
        <v>1969</v>
      </c>
      <c r="D296" s="286">
        <v>12.32</v>
      </c>
      <c r="E296" s="299"/>
      <c r="F296" s="299"/>
      <c r="G296" s="288">
        <v>77042.933999999994</v>
      </c>
      <c r="H296" s="288">
        <v>78275.415999999997</v>
      </c>
      <c r="I296" s="288">
        <v>73415.542000000016</v>
      </c>
      <c r="J296" s="288">
        <v>79960.05799999999</v>
      </c>
      <c r="K296" s="288">
        <v>77429.541999999987</v>
      </c>
      <c r="L296" s="288">
        <v>80452.606</v>
      </c>
      <c r="M296" s="288">
        <v>61868.472999999998</v>
      </c>
      <c r="N296" s="288">
        <v>81530.162000000011</v>
      </c>
      <c r="O296" s="288">
        <f t="shared" si="140"/>
        <v>74617.080333333332</v>
      </c>
      <c r="P296" s="288">
        <f t="shared" si="141"/>
        <v>74617.080333333332</v>
      </c>
      <c r="Q296" s="288">
        <f t="shared" si="141"/>
        <v>74617.080333333332</v>
      </c>
      <c r="R296" s="288">
        <f t="shared" si="141"/>
        <v>74617.080333333332</v>
      </c>
      <c r="S296" s="288">
        <f t="shared" si="141"/>
        <v>74617.080333333332</v>
      </c>
      <c r="T296" s="288">
        <f t="shared" si="141"/>
        <v>74617.080333333332</v>
      </c>
      <c r="U296" s="288">
        <f t="shared" si="141"/>
        <v>74617.080333333332</v>
      </c>
      <c r="V296" s="288">
        <f t="shared" si="141"/>
        <v>74617.080333333332</v>
      </c>
      <c r="W296" s="288">
        <f t="shared" si="141"/>
        <v>74617.080333333332</v>
      </c>
      <c r="X296" s="288">
        <f t="shared" si="141"/>
        <v>74617.080333333332</v>
      </c>
      <c r="Y296" s="288">
        <f t="shared" si="141"/>
        <v>74617.080333333332</v>
      </c>
      <c r="Z296" s="288">
        <f t="shared" si="141"/>
        <v>74617.080333333332</v>
      </c>
      <c r="AA296" s="288">
        <f t="shared" si="141"/>
        <v>74617.080333333332</v>
      </c>
    </row>
    <row r="297" spans="2:27" x14ac:dyDescent="0.3">
      <c r="B297" s="297" t="s">
        <v>294</v>
      </c>
      <c r="C297" s="308"/>
      <c r="D297" s="297"/>
      <c r="E297" s="297"/>
      <c r="F297" s="297"/>
      <c r="G297" s="298"/>
      <c r="H297" s="298"/>
      <c r="I297" s="298"/>
      <c r="J297" s="298"/>
      <c r="K297" s="298"/>
      <c r="L297" s="298"/>
      <c r="M297" s="298"/>
      <c r="N297" s="298"/>
      <c r="O297" s="298"/>
      <c r="P297" s="298"/>
      <c r="Q297" s="298"/>
      <c r="R297" s="298"/>
      <c r="S297" s="298"/>
      <c r="T297" s="298"/>
      <c r="U297" s="298"/>
      <c r="V297" s="298"/>
      <c r="W297" s="298"/>
      <c r="X297" s="298"/>
      <c r="Y297" s="298"/>
      <c r="Z297" s="298"/>
      <c r="AA297" s="298"/>
    </row>
    <row r="298" spans="2:27" x14ac:dyDescent="0.3">
      <c r="B298" s="299" t="s">
        <v>295</v>
      </c>
      <c r="C298" s="300">
        <v>1999</v>
      </c>
      <c r="D298" s="286">
        <v>15.1</v>
      </c>
      <c r="E298" s="299"/>
      <c r="F298" s="299"/>
      <c r="G298" s="288">
        <v>95760.286999999982</v>
      </c>
      <c r="H298" s="288">
        <v>95144.05</v>
      </c>
      <c r="I298" s="288">
        <v>95119.72</v>
      </c>
      <c r="J298" s="288">
        <v>105447.58899999999</v>
      </c>
      <c r="K298" s="288">
        <v>99009.819000000003</v>
      </c>
      <c r="L298" s="288">
        <v>86632.661000000007</v>
      </c>
      <c r="M298" s="288">
        <v>79958.990999999995</v>
      </c>
      <c r="N298" s="288">
        <v>91011.156999999992</v>
      </c>
      <c r="O298" s="288">
        <f t="shared" si="140"/>
        <v>85867.603000000003</v>
      </c>
      <c r="P298" s="288">
        <f>+O298</f>
        <v>85867.603000000003</v>
      </c>
      <c r="Q298" s="288">
        <f t="shared" ref="Q298:AA305" si="142">+P298</f>
        <v>85867.603000000003</v>
      </c>
      <c r="R298" s="288">
        <f t="shared" si="142"/>
        <v>85867.603000000003</v>
      </c>
      <c r="S298" s="288">
        <f t="shared" si="142"/>
        <v>85867.603000000003</v>
      </c>
      <c r="T298" s="288">
        <f t="shared" si="142"/>
        <v>85867.603000000003</v>
      </c>
      <c r="U298" s="288">
        <f t="shared" si="142"/>
        <v>85867.603000000003</v>
      </c>
      <c r="V298" s="288">
        <f t="shared" si="142"/>
        <v>85867.603000000003</v>
      </c>
      <c r="W298" s="288">
        <f t="shared" si="142"/>
        <v>85867.603000000003</v>
      </c>
      <c r="X298" s="288">
        <f t="shared" si="142"/>
        <v>85867.603000000003</v>
      </c>
      <c r="Y298" s="288">
        <f t="shared" si="142"/>
        <v>85867.603000000003</v>
      </c>
      <c r="Z298" s="288">
        <f t="shared" si="142"/>
        <v>85867.603000000003</v>
      </c>
      <c r="AA298" s="288">
        <f t="shared" si="142"/>
        <v>85867.603000000003</v>
      </c>
    </row>
    <row r="299" spans="2:27" x14ac:dyDescent="0.3">
      <c r="B299" s="299" t="s">
        <v>296</v>
      </c>
      <c r="C299" s="300">
        <v>1999</v>
      </c>
      <c r="D299" s="286">
        <v>15.05</v>
      </c>
      <c r="E299" s="299"/>
      <c r="F299" s="299"/>
      <c r="G299" s="288">
        <v>93799.604999999996</v>
      </c>
      <c r="H299" s="288">
        <v>98539.03</v>
      </c>
      <c r="I299" s="288">
        <v>94138.09</v>
      </c>
      <c r="J299" s="288">
        <v>99492.22</v>
      </c>
      <c r="K299" s="288">
        <v>99241.433000000005</v>
      </c>
      <c r="L299" s="288">
        <v>93811.007999999987</v>
      </c>
      <c r="M299" s="288">
        <v>82387.252999999997</v>
      </c>
      <c r="N299" s="288">
        <v>99447.379000000015</v>
      </c>
      <c r="O299" s="288">
        <f t="shared" si="140"/>
        <v>91881.88</v>
      </c>
      <c r="P299" s="288">
        <f>+O299</f>
        <v>91881.88</v>
      </c>
      <c r="Q299" s="288">
        <f t="shared" si="142"/>
        <v>91881.88</v>
      </c>
      <c r="R299" s="288">
        <f t="shared" si="142"/>
        <v>91881.88</v>
      </c>
      <c r="S299" s="288">
        <f t="shared" si="142"/>
        <v>91881.88</v>
      </c>
      <c r="T299" s="288">
        <f t="shared" si="142"/>
        <v>91881.88</v>
      </c>
      <c r="U299" s="288">
        <f t="shared" si="142"/>
        <v>91881.88</v>
      </c>
      <c r="V299" s="288">
        <f t="shared" si="142"/>
        <v>91881.88</v>
      </c>
      <c r="W299" s="288">
        <f t="shared" si="142"/>
        <v>91881.88</v>
      </c>
      <c r="X299" s="288">
        <f t="shared" si="142"/>
        <v>91881.88</v>
      </c>
      <c r="Y299" s="288">
        <f t="shared" si="142"/>
        <v>91881.88</v>
      </c>
      <c r="Z299" s="288">
        <f t="shared" si="142"/>
        <v>91881.88</v>
      </c>
      <c r="AA299" s="288">
        <f t="shared" si="142"/>
        <v>91881.88</v>
      </c>
    </row>
    <row r="300" spans="2:27" x14ac:dyDescent="0.3">
      <c r="B300" s="297" t="s">
        <v>297</v>
      </c>
      <c r="C300" s="308"/>
      <c r="D300" s="297"/>
      <c r="E300" s="297"/>
      <c r="F300" s="297"/>
      <c r="G300" s="298"/>
      <c r="H300" s="298"/>
      <c r="I300" s="298"/>
      <c r="J300" s="298"/>
      <c r="K300" s="298"/>
      <c r="L300" s="298"/>
      <c r="M300" s="298"/>
      <c r="N300" s="298"/>
      <c r="O300" s="298"/>
      <c r="P300" s="298"/>
      <c r="Q300" s="298"/>
      <c r="R300" s="298"/>
      <c r="S300" s="298"/>
      <c r="T300" s="298"/>
      <c r="U300" s="298"/>
      <c r="V300" s="298"/>
      <c r="W300" s="298"/>
      <c r="X300" s="298"/>
      <c r="Y300" s="298"/>
      <c r="Z300" s="298"/>
      <c r="AA300" s="298"/>
    </row>
    <row r="301" spans="2:27" x14ac:dyDescent="0.3">
      <c r="B301" s="299" t="s">
        <v>298</v>
      </c>
      <c r="C301" s="300">
        <v>1999</v>
      </c>
      <c r="D301" s="286">
        <v>7.54</v>
      </c>
      <c r="E301" s="299"/>
      <c r="F301" s="299"/>
      <c r="G301" s="288">
        <v>14119.3</v>
      </c>
      <c r="H301" s="288">
        <v>19288.97</v>
      </c>
      <c r="I301" s="288">
        <v>20815.78</v>
      </c>
      <c r="J301" s="288">
        <v>16358.64</v>
      </c>
      <c r="K301" s="288">
        <v>19804.840000000004</v>
      </c>
      <c r="L301" s="288">
        <v>17612.39</v>
      </c>
      <c r="M301" s="288">
        <v>12031.66</v>
      </c>
      <c r="N301" s="288">
        <v>10963.130000000001</v>
      </c>
      <c r="O301" s="288">
        <f t="shared" ref="O301" si="143">+AVERAGE(L301:N301)</f>
        <v>13535.726666666667</v>
      </c>
      <c r="P301" s="288">
        <f>+O301</f>
        <v>13535.726666666667</v>
      </c>
      <c r="Q301" s="288">
        <f t="shared" si="142"/>
        <v>13535.726666666667</v>
      </c>
      <c r="R301" s="288">
        <f t="shared" si="142"/>
        <v>13535.726666666667</v>
      </c>
      <c r="S301" s="288">
        <f t="shared" si="142"/>
        <v>13535.726666666667</v>
      </c>
      <c r="T301" s="288">
        <f t="shared" si="142"/>
        <v>13535.726666666667</v>
      </c>
      <c r="U301" s="288">
        <f t="shared" si="142"/>
        <v>13535.726666666667</v>
      </c>
      <c r="V301" s="288">
        <f t="shared" si="142"/>
        <v>13535.726666666667</v>
      </c>
      <c r="W301" s="288">
        <f t="shared" si="142"/>
        <v>13535.726666666667</v>
      </c>
      <c r="X301" s="288">
        <f t="shared" si="142"/>
        <v>13535.726666666667</v>
      </c>
      <c r="Y301" s="288">
        <f t="shared" si="142"/>
        <v>13535.726666666667</v>
      </c>
      <c r="Z301" s="288">
        <f t="shared" si="142"/>
        <v>13535.726666666667</v>
      </c>
      <c r="AA301" s="288">
        <f t="shared" si="142"/>
        <v>13535.726666666667</v>
      </c>
    </row>
    <row r="302" spans="2:27" x14ac:dyDescent="0.3">
      <c r="B302" s="297" t="s">
        <v>299</v>
      </c>
      <c r="C302" s="308"/>
      <c r="D302" s="297"/>
      <c r="E302" s="297"/>
      <c r="F302" s="297"/>
      <c r="G302" s="298"/>
      <c r="H302" s="298"/>
      <c r="I302" s="298"/>
      <c r="J302" s="298"/>
      <c r="K302" s="298"/>
      <c r="L302" s="298"/>
      <c r="M302" s="298"/>
      <c r="N302" s="298"/>
      <c r="O302" s="298"/>
      <c r="P302" s="298"/>
      <c r="Q302" s="298"/>
      <c r="R302" s="298"/>
      <c r="S302" s="298"/>
      <c r="T302" s="298"/>
      <c r="U302" s="298"/>
      <c r="V302" s="298"/>
      <c r="W302" s="298"/>
      <c r="X302" s="298"/>
      <c r="Y302" s="298"/>
      <c r="Z302" s="298"/>
      <c r="AA302" s="298"/>
    </row>
    <row r="303" spans="2:27" x14ac:dyDescent="0.3">
      <c r="B303" s="299" t="s">
        <v>300</v>
      </c>
      <c r="C303" s="300" t="s">
        <v>301</v>
      </c>
      <c r="D303" s="286">
        <v>11.49</v>
      </c>
      <c r="E303" s="299"/>
      <c r="F303" s="299"/>
      <c r="G303" s="288">
        <v>40270.455000000002</v>
      </c>
      <c r="H303" s="288">
        <v>38528.400999999998</v>
      </c>
      <c r="I303" s="288">
        <v>41587.581999999995</v>
      </c>
      <c r="J303" s="288">
        <v>42148.481999999996</v>
      </c>
      <c r="K303" s="288">
        <v>45154.620999999999</v>
      </c>
      <c r="L303" s="288">
        <v>41357.006000000001</v>
      </c>
      <c r="M303" s="288">
        <v>32860.883000000002</v>
      </c>
      <c r="N303" s="288">
        <v>31306.786999999997</v>
      </c>
      <c r="O303" s="288">
        <f t="shared" ref="O303" si="144">+AVERAGE(L303:N303)</f>
        <v>35174.892</v>
      </c>
      <c r="P303" s="288">
        <f>+O303</f>
        <v>35174.892</v>
      </c>
      <c r="Q303" s="288">
        <f t="shared" si="142"/>
        <v>35174.892</v>
      </c>
      <c r="R303" s="288">
        <f t="shared" si="142"/>
        <v>35174.892</v>
      </c>
      <c r="S303" s="288">
        <f t="shared" si="142"/>
        <v>35174.892</v>
      </c>
      <c r="T303" s="288">
        <f t="shared" si="142"/>
        <v>35174.892</v>
      </c>
      <c r="U303" s="288">
        <f t="shared" si="142"/>
        <v>35174.892</v>
      </c>
      <c r="V303" s="288">
        <f t="shared" si="142"/>
        <v>35174.892</v>
      </c>
      <c r="W303" s="288">
        <f t="shared" si="142"/>
        <v>35174.892</v>
      </c>
      <c r="X303" s="288">
        <f t="shared" si="142"/>
        <v>35174.892</v>
      </c>
      <c r="Y303" s="288">
        <f t="shared" si="142"/>
        <v>35174.892</v>
      </c>
      <c r="Z303" s="288">
        <f t="shared" si="142"/>
        <v>35174.892</v>
      </c>
      <c r="AA303" s="288">
        <f t="shared" si="142"/>
        <v>35174.892</v>
      </c>
    </row>
    <row r="304" spans="2:27" x14ac:dyDescent="0.3">
      <c r="B304" s="297" t="s">
        <v>302</v>
      </c>
      <c r="C304" s="308"/>
      <c r="D304" s="297"/>
      <c r="E304" s="297"/>
      <c r="F304" s="297"/>
      <c r="G304" s="298"/>
      <c r="H304" s="298"/>
      <c r="I304" s="298"/>
      <c r="J304" s="298"/>
      <c r="K304" s="298"/>
      <c r="L304" s="298"/>
      <c r="M304" s="298"/>
      <c r="N304" s="298"/>
      <c r="O304" s="298"/>
      <c r="P304" s="298"/>
      <c r="Q304" s="298"/>
      <c r="R304" s="298"/>
      <c r="S304" s="298"/>
      <c r="T304" s="298"/>
      <c r="U304" s="298"/>
      <c r="V304" s="298"/>
      <c r="W304" s="298"/>
      <c r="X304" s="298"/>
      <c r="Y304" s="298"/>
      <c r="Z304" s="298"/>
      <c r="AA304" s="298"/>
    </row>
    <row r="305" spans="2:27" x14ac:dyDescent="0.3">
      <c r="B305" s="299" t="s">
        <v>303</v>
      </c>
      <c r="C305" s="300" t="s">
        <v>301</v>
      </c>
      <c r="D305" s="286">
        <v>5.15</v>
      </c>
      <c r="E305" s="299"/>
      <c r="F305" s="299"/>
      <c r="G305" s="288">
        <v>14596.415000000001</v>
      </c>
      <c r="H305" s="288">
        <v>17363.156999999999</v>
      </c>
      <c r="I305" s="288">
        <v>17535.357</v>
      </c>
      <c r="J305" s="288">
        <v>18995.719000000001</v>
      </c>
      <c r="K305" s="288">
        <v>22123.662000000004</v>
      </c>
      <c r="L305" s="288">
        <v>18022.292999999998</v>
      </c>
      <c r="M305" s="288">
        <v>14087.349</v>
      </c>
      <c r="N305" s="288">
        <v>14473.441999999999</v>
      </c>
      <c r="O305" s="288">
        <f t="shared" ref="O305" si="145">+AVERAGE(L305:N305)</f>
        <v>15527.694666666668</v>
      </c>
      <c r="P305" s="288">
        <f>+O305</f>
        <v>15527.694666666668</v>
      </c>
      <c r="Q305" s="288">
        <f t="shared" si="142"/>
        <v>15527.694666666668</v>
      </c>
      <c r="R305" s="288">
        <f t="shared" si="142"/>
        <v>15527.694666666668</v>
      </c>
      <c r="S305" s="288">
        <f t="shared" si="142"/>
        <v>15527.694666666668</v>
      </c>
      <c r="T305" s="288">
        <f t="shared" si="142"/>
        <v>15527.694666666668</v>
      </c>
      <c r="U305" s="288">
        <f t="shared" si="142"/>
        <v>15527.694666666668</v>
      </c>
      <c r="V305" s="288">
        <f t="shared" si="142"/>
        <v>15527.694666666668</v>
      </c>
      <c r="W305" s="288">
        <f t="shared" si="142"/>
        <v>15527.694666666668</v>
      </c>
      <c r="X305" s="288">
        <f t="shared" si="142"/>
        <v>15527.694666666668</v>
      </c>
      <c r="Y305" s="288">
        <f t="shared" si="142"/>
        <v>15527.694666666668</v>
      </c>
      <c r="Z305" s="288">
        <f t="shared" si="142"/>
        <v>15527.694666666668</v>
      </c>
      <c r="AA305" s="288">
        <f t="shared" si="142"/>
        <v>15527.694666666668</v>
      </c>
    </row>
    <row r="306" spans="2:27" x14ac:dyDescent="0.3">
      <c r="B306" s="297" t="s">
        <v>304</v>
      </c>
      <c r="C306" s="308"/>
      <c r="D306" s="297"/>
      <c r="E306" s="297"/>
      <c r="F306" s="297"/>
      <c r="G306" s="298"/>
      <c r="H306" s="298"/>
      <c r="I306" s="298"/>
      <c r="J306" s="298"/>
      <c r="K306" s="298"/>
      <c r="L306" s="298"/>
      <c r="M306" s="298"/>
      <c r="N306" s="298"/>
      <c r="O306" s="298"/>
      <c r="P306" s="298"/>
      <c r="Q306" s="298"/>
      <c r="R306" s="298"/>
      <c r="S306" s="298"/>
      <c r="T306" s="298"/>
      <c r="U306" s="298"/>
      <c r="V306" s="298"/>
      <c r="W306" s="298"/>
      <c r="X306" s="298"/>
      <c r="Y306" s="298"/>
      <c r="Z306" s="298"/>
      <c r="AA306" s="298"/>
    </row>
    <row r="307" spans="2:27" x14ac:dyDescent="0.3">
      <c r="B307" s="299" t="s">
        <v>305</v>
      </c>
      <c r="C307" s="300">
        <v>1931</v>
      </c>
      <c r="D307" s="286">
        <v>1.31</v>
      </c>
      <c r="E307" s="299"/>
      <c r="F307" s="299"/>
      <c r="G307" s="288">
        <v>4114</v>
      </c>
      <c r="H307" s="288">
        <v>4554.1049999999996</v>
      </c>
      <c r="I307" s="288">
        <v>4812.643</v>
      </c>
      <c r="J307" s="288">
        <v>4552.4240000000009</v>
      </c>
      <c r="K307" s="288">
        <v>4384.4089999999997</v>
      </c>
      <c r="L307" s="288">
        <v>4376.9049999999997</v>
      </c>
      <c r="M307" s="288">
        <v>3466.1080000000002</v>
      </c>
      <c r="N307" s="288">
        <v>4191.5759999999991</v>
      </c>
      <c r="O307" s="288">
        <f t="shared" ref="O307:O308" si="146">+AVERAGE(L307:N307)</f>
        <v>4011.5296666666668</v>
      </c>
      <c r="P307" s="288">
        <f t="shared" ref="P307:AA308" si="147">+O307</f>
        <v>4011.5296666666668</v>
      </c>
      <c r="Q307" s="288">
        <f t="shared" si="147"/>
        <v>4011.5296666666668</v>
      </c>
      <c r="R307" s="288">
        <f t="shared" si="147"/>
        <v>4011.5296666666668</v>
      </c>
      <c r="S307" s="288">
        <f t="shared" si="147"/>
        <v>4011.5296666666668</v>
      </c>
      <c r="T307" s="288">
        <f t="shared" si="147"/>
        <v>4011.5296666666668</v>
      </c>
      <c r="U307" s="288">
        <f t="shared" si="147"/>
        <v>4011.5296666666668</v>
      </c>
      <c r="V307" s="288">
        <f t="shared" si="147"/>
        <v>4011.5296666666668</v>
      </c>
      <c r="W307" s="288">
        <f t="shared" si="147"/>
        <v>4011.5296666666668</v>
      </c>
      <c r="X307" s="288">
        <f t="shared" si="147"/>
        <v>4011.5296666666668</v>
      </c>
      <c r="Y307" s="288">
        <f t="shared" si="147"/>
        <v>4011.5296666666668</v>
      </c>
      <c r="Z307" s="288">
        <f t="shared" si="147"/>
        <v>4011.5296666666668</v>
      </c>
      <c r="AA307" s="288">
        <f t="shared" si="147"/>
        <v>4011.5296666666668</v>
      </c>
    </row>
    <row r="308" spans="2:27" x14ac:dyDescent="0.3">
      <c r="B308" s="299" t="s">
        <v>306</v>
      </c>
      <c r="C308" s="300">
        <v>1931</v>
      </c>
      <c r="D308" s="286">
        <v>1.24</v>
      </c>
      <c r="E308" s="299"/>
      <c r="F308" s="299"/>
      <c r="G308" s="288">
        <v>4195</v>
      </c>
      <c r="H308" s="288">
        <v>4563.4110000000001</v>
      </c>
      <c r="I308" s="288">
        <v>4781.6249999999973</v>
      </c>
      <c r="J308" s="288">
        <v>4698.2270000000008</v>
      </c>
      <c r="K308" s="288">
        <v>4197.7930000000006</v>
      </c>
      <c r="L308" s="288">
        <v>4145.2669999999998</v>
      </c>
      <c r="M308" s="288">
        <v>3329.4500000000003</v>
      </c>
      <c r="N308" s="288">
        <v>4038.616</v>
      </c>
      <c r="O308" s="288">
        <f t="shared" si="146"/>
        <v>3837.7776666666668</v>
      </c>
      <c r="P308" s="288">
        <f t="shared" si="147"/>
        <v>3837.7776666666668</v>
      </c>
      <c r="Q308" s="288">
        <f t="shared" si="147"/>
        <v>3837.7776666666668</v>
      </c>
      <c r="R308" s="288">
        <f t="shared" si="147"/>
        <v>3837.7776666666668</v>
      </c>
      <c r="S308" s="288">
        <f t="shared" si="147"/>
        <v>3837.7776666666668</v>
      </c>
      <c r="T308" s="288">
        <f t="shared" si="147"/>
        <v>3837.7776666666668</v>
      </c>
      <c r="U308" s="288">
        <f t="shared" si="147"/>
        <v>3837.7776666666668</v>
      </c>
      <c r="V308" s="288">
        <f t="shared" si="147"/>
        <v>3837.7776666666668</v>
      </c>
      <c r="W308" s="288">
        <f t="shared" si="147"/>
        <v>3837.7776666666668</v>
      </c>
      <c r="X308" s="288">
        <f t="shared" si="147"/>
        <v>3837.7776666666668</v>
      </c>
      <c r="Y308" s="288">
        <f t="shared" si="147"/>
        <v>3837.7776666666668</v>
      </c>
      <c r="Z308" s="288">
        <f t="shared" si="147"/>
        <v>3837.7776666666668</v>
      </c>
      <c r="AA308" s="288">
        <f t="shared" si="147"/>
        <v>3837.7776666666668</v>
      </c>
    </row>
    <row r="309" spans="2:27" x14ac:dyDescent="0.3">
      <c r="B309" s="297" t="s">
        <v>307</v>
      </c>
      <c r="C309" s="308"/>
      <c r="D309" s="297"/>
      <c r="E309" s="297"/>
      <c r="F309" s="297"/>
      <c r="G309" s="298"/>
      <c r="H309" s="298"/>
      <c r="I309" s="298"/>
      <c r="J309" s="298"/>
      <c r="K309" s="298"/>
      <c r="L309" s="298"/>
      <c r="M309" s="298"/>
      <c r="N309" s="298"/>
      <c r="O309" s="298"/>
      <c r="P309" s="298"/>
      <c r="Q309" s="298"/>
      <c r="R309" s="298"/>
      <c r="S309" s="298"/>
      <c r="T309" s="298"/>
      <c r="U309" s="298"/>
      <c r="V309" s="298"/>
      <c r="W309" s="298"/>
      <c r="X309" s="298"/>
      <c r="Y309" s="298"/>
      <c r="Z309" s="298"/>
      <c r="AA309" s="298"/>
    </row>
    <row r="310" spans="2:27" x14ac:dyDescent="0.3">
      <c r="B310" s="299" t="s">
        <v>308</v>
      </c>
      <c r="C310" s="300">
        <v>2017</v>
      </c>
      <c r="D310" s="286">
        <v>120</v>
      </c>
      <c r="E310" s="300">
        <v>0.5</v>
      </c>
      <c r="F310" s="299"/>
      <c r="G310" s="288">
        <v>0</v>
      </c>
      <c r="H310" s="288">
        <v>0</v>
      </c>
      <c r="I310" s="288">
        <v>0</v>
      </c>
      <c r="J310" s="288">
        <v>0</v>
      </c>
      <c r="K310" s="288">
        <v>0</v>
      </c>
      <c r="L310" s="288">
        <v>0</v>
      </c>
      <c r="M310" s="288">
        <v>0</v>
      </c>
      <c r="N310" s="288">
        <v>11172.225999999999</v>
      </c>
      <c r="O310" s="288">
        <f>+$D$310*8760*E310</f>
        <v>525600</v>
      </c>
      <c r="P310" s="288">
        <f>+O310</f>
        <v>525600</v>
      </c>
      <c r="Q310" s="288">
        <f t="shared" ref="Q310:AA310" si="148">+P310</f>
        <v>525600</v>
      </c>
      <c r="R310" s="288">
        <f t="shared" si="148"/>
        <v>525600</v>
      </c>
      <c r="S310" s="288">
        <f t="shared" si="148"/>
        <v>525600</v>
      </c>
      <c r="T310" s="288">
        <f t="shared" si="148"/>
        <v>525600</v>
      </c>
      <c r="U310" s="288">
        <f t="shared" si="148"/>
        <v>525600</v>
      </c>
      <c r="V310" s="288">
        <f t="shared" si="148"/>
        <v>525600</v>
      </c>
      <c r="W310" s="288">
        <f t="shared" si="148"/>
        <v>525600</v>
      </c>
      <c r="X310" s="288">
        <f t="shared" si="148"/>
        <v>525600</v>
      </c>
      <c r="Y310" s="288">
        <f t="shared" si="148"/>
        <v>525600</v>
      </c>
      <c r="Z310" s="288">
        <f t="shared" si="148"/>
        <v>525600</v>
      </c>
      <c r="AA310" s="288">
        <f t="shared" si="148"/>
        <v>525600</v>
      </c>
    </row>
    <row r="311" spans="2:27" x14ac:dyDescent="0.3">
      <c r="B311" s="297" t="s">
        <v>309</v>
      </c>
      <c r="C311" s="308"/>
      <c r="D311" s="297"/>
      <c r="E311" s="297"/>
      <c r="F311" s="297"/>
      <c r="G311" s="298"/>
      <c r="H311" s="298"/>
      <c r="I311" s="298"/>
      <c r="J311" s="298"/>
      <c r="K311" s="298"/>
      <c r="L311" s="298"/>
      <c r="M311" s="298"/>
      <c r="N311" s="298"/>
      <c r="O311" s="298"/>
      <c r="P311" s="298"/>
      <c r="Q311" s="298"/>
      <c r="R311" s="298"/>
      <c r="S311" s="298"/>
      <c r="T311" s="298"/>
      <c r="U311" s="298"/>
      <c r="V311" s="298"/>
      <c r="W311" s="298"/>
      <c r="X311" s="298"/>
      <c r="Y311" s="298"/>
      <c r="Z311" s="298"/>
      <c r="AA311" s="298"/>
    </row>
    <row r="312" spans="2:27" x14ac:dyDescent="0.3">
      <c r="B312" s="299" t="s">
        <v>310</v>
      </c>
      <c r="C312" s="300">
        <v>1962</v>
      </c>
      <c r="D312" s="286">
        <v>2.4</v>
      </c>
      <c r="E312" s="299"/>
      <c r="F312" s="299"/>
      <c r="G312" s="288">
        <v>16964.522000000001</v>
      </c>
      <c r="H312" s="288">
        <v>17331.444</v>
      </c>
      <c r="I312" s="288">
        <v>18585.001000000004</v>
      </c>
      <c r="J312" s="288">
        <v>16688.195999999996</v>
      </c>
      <c r="K312" s="288">
        <v>17786.664000000001</v>
      </c>
      <c r="L312" s="288">
        <v>18207.585999999999</v>
      </c>
      <c r="M312" s="288">
        <v>16078.901000000002</v>
      </c>
      <c r="N312" s="288">
        <v>15005.555</v>
      </c>
      <c r="O312" s="288">
        <f t="shared" ref="O312" si="149">+AVERAGE(L312:N312)</f>
        <v>16430.680666666667</v>
      </c>
      <c r="P312" s="288">
        <f>+O312</f>
        <v>16430.680666666667</v>
      </c>
      <c r="Q312" s="288">
        <f t="shared" ref="Q312:AA312" si="150">+P312</f>
        <v>16430.680666666667</v>
      </c>
      <c r="R312" s="288">
        <f t="shared" si="150"/>
        <v>16430.680666666667</v>
      </c>
      <c r="S312" s="288">
        <f t="shared" si="150"/>
        <v>16430.680666666667</v>
      </c>
      <c r="T312" s="288">
        <f t="shared" si="150"/>
        <v>16430.680666666667</v>
      </c>
      <c r="U312" s="288">
        <f t="shared" si="150"/>
        <v>16430.680666666667</v>
      </c>
      <c r="V312" s="288">
        <f t="shared" si="150"/>
        <v>16430.680666666667</v>
      </c>
      <c r="W312" s="288">
        <f t="shared" si="150"/>
        <v>16430.680666666667</v>
      </c>
      <c r="X312" s="288">
        <f t="shared" si="150"/>
        <v>16430.680666666667</v>
      </c>
      <c r="Y312" s="288">
        <f t="shared" si="150"/>
        <v>16430.680666666667</v>
      </c>
      <c r="Z312" s="288">
        <f t="shared" si="150"/>
        <v>16430.680666666667</v>
      </c>
      <c r="AA312" s="288">
        <f t="shared" si="150"/>
        <v>16430.680666666667</v>
      </c>
    </row>
    <row r="313" spans="2:27" x14ac:dyDescent="0.3">
      <c r="B313" s="297" t="s">
        <v>311</v>
      </c>
      <c r="C313" s="308"/>
      <c r="D313" s="301"/>
      <c r="E313" s="297"/>
      <c r="F313" s="297"/>
      <c r="G313" s="298"/>
      <c r="H313" s="298"/>
      <c r="I313" s="298"/>
      <c r="J313" s="298"/>
      <c r="K313" s="298"/>
      <c r="L313" s="298"/>
      <c r="M313" s="298"/>
      <c r="N313" s="298"/>
      <c r="O313" s="298"/>
      <c r="P313" s="298"/>
      <c r="Q313" s="298"/>
      <c r="R313" s="298"/>
      <c r="S313" s="298"/>
      <c r="T313" s="298"/>
      <c r="U313" s="298"/>
      <c r="V313" s="298"/>
      <c r="W313" s="298"/>
      <c r="X313" s="298"/>
      <c r="Y313" s="298"/>
      <c r="Z313" s="298"/>
      <c r="AA313" s="298"/>
    </row>
    <row r="314" spans="2:27" x14ac:dyDescent="0.3">
      <c r="B314" s="299" t="s">
        <v>312</v>
      </c>
      <c r="C314" s="300">
        <v>2007</v>
      </c>
      <c r="D314" s="286">
        <v>0.97899999999999998</v>
      </c>
      <c r="E314" s="299"/>
      <c r="F314" s="299"/>
      <c r="G314" s="288">
        <v>3310.3999999999996</v>
      </c>
      <c r="H314" s="288">
        <v>4002.56</v>
      </c>
      <c r="I314" s="288">
        <v>6492.8999999999987</v>
      </c>
      <c r="J314" s="288">
        <v>7388.4</v>
      </c>
      <c r="K314" s="288">
        <v>7175.8399999999992</v>
      </c>
      <c r="L314" s="288">
        <v>8301.2000000000007</v>
      </c>
      <c r="M314" s="288">
        <v>2307.6</v>
      </c>
      <c r="N314" s="288">
        <v>3547</v>
      </c>
      <c r="O314" s="288">
        <f t="shared" ref="O314:O315" si="151">+AVERAGE(L314:N314)</f>
        <v>4718.6000000000004</v>
      </c>
      <c r="P314" s="288">
        <f t="shared" ref="P314:AA315" si="152">+O314</f>
        <v>4718.6000000000004</v>
      </c>
      <c r="Q314" s="288">
        <f t="shared" si="152"/>
        <v>4718.6000000000004</v>
      </c>
      <c r="R314" s="288">
        <f t="shared" si="152"/>
        <v>4718.6000000000004</v>
      </c>
      <c r="S314" s="288">
        <f t="shared" si="152"/>
        <v>4718.6000000000004</v>
      </c>
      <c r="T314" s="288">
        <f t="shared" si="152"/>
        <v>4718.6000000000004</v>
      </c>
      <c r="U314" s="288">
        <f t="shared" si="152"/>
        <v>4718.6000000000004</v>
      </c>
      <c r="V314" s="288">
        <f t="shared" si="152"/>
        <v>4718.6000000000004</v>
      </c>
      <c r="W314" s="288">
        <f t="shared" si="152"/>
        <v>4718.6000000000004</v>
      </c>
      <c r="X314" s="288">
        <f t="shared" si="152"/>
        <v>4718.6000000000004</v>
      </c>
      <c r="Y314" s="288">
        <f t="shared" si="152"/>
        <v>4718.6000000000004</v>
      </c>
      <c r="Z314" s="288">
        <f t="shared" si="152"/>
        <v>4718.6000000000004</v>
      </c>
      <c r="AA314" s="288">
        <f t="shared" si="152"/>
        <v>4718.6000000000004</v>
      </c>
    </row>
    <row r="315" spans="2:27" x14ac:dyDescent="0.3">
      <c r="B315" s="299" t="s">
        <v>313</v>
      </c>
      <c r="C315" s="300">
        <v>2007</v>
      </c>
      <c r="D315" s="286">
        <v>0.99299999999999999</v>
      </c>
      <c r="E315" s="299"/>
      <c r="F315" s="299"/>
      <c r="G315" s="288"/>
      <c r="H315" s="288"/>
      <c r="I315" s="288"/>
      <c r="J315" s="288"/>
      <c r="K315" s="288"/>
      <c r="L315" s="288"/>
      <c r="M315" s="288">
        <v>2352.1</v>
      </c>
      <c r="N315" s="288">
        <v>3707.2000000000003</v>
      </c>
      <c r="O315" s="288">
        <f t="shared" si="151"/>
        <v>3029.65</v>
      </c>
      <c r="P315" s="288">
        <f t="shared" si="152"/>
        <v>3029.65</v>
      </c>
      <c r="Q315" s="288">
        <f t="shared" si="152"/>
        <v>3029.65</v>
      </c>
      <c r="R315" s="288">
        <f t="shared" si="152"/>
        <v>3029.65</v>
      </c>
      <c r="S315" s="288">
        <f t="shared" si="152"/>
        <v>3029.65</v>
      </c>
      <c r="T315" s="288">
        <f t="shared" si="152"/>
        <v>3029.65</v>
      </c>
      <c r="U315" s="288">
        <f t="shared" si="152"/>
        <v>3029.65</v>
      </c>
      <c r="V315" s="288">
        <f t="shared" si="152"/>
        <v>3029.65</v>
      </c>
      <c r="W315" s="288">
        <f t="shared" si="152"/>
        <v>3029.65</v>
      </c>
      <c r="X315" s="288">
        <f t="shared" si="152"/>
        <v>3029.65</v>
      </c>
      <c r="Y315" s="288">
        <f t="shared" si="152"/>
        <v>3029.65</v>
      </c>
      <c r="Z315" s="288">
        <f t="shared" si="152"/>
        <v>3029.65</v>
      </c>
      <c r="AA315" s="288">
        <f t="shared" si="152"/>
        <v>3029.65</v>
      </c>
    </row>
    <row r="316" spans="2:27" x14ac:dyDescent="0.3">
      <c r="B316" s="297" t="s">
        <v>314</v>
      </c>
      <c r="C316" s="308"/>
      <c r="D316" s="301"/>
      <c r="E316" s="297"/>
      <c r="F316" s="297"/>
      <c r="G316" s="298"/>
      <c r="H316" s="298"/>
      <c r="I316" s="298"/>
      <c r="J316" s="298"/>
      <c r="K316" s="298"/>
      <c r="L316" s="298"/>
      <c r="M316" s="298"/>
      <c r="N316" s="298"/>
      <c r="O316" s="298"/>
      <c r="P316" s="298"/>
      <c r="Q316" s="298"/>
      <c r="R316" s="298"/>
      <c r="S316" s="298"/>
      <c r="T316" s="298"/>
      <c r="U316" s="298"/>
      <c r="V316" s="298"/>
      <c r="W316" s="298"/>
      <c r="X316" s="298"/>
      <c r="Y316" s="298"/>
      <c r="Z316" s="298"/>
      <c r="AA316" s="298"/>
    </row>
    <row r="317" spans="2:27" x14ac:dyDescent="0.3">
      <c r="B317" s="299" t="s">
        <v>315</v>
      </c>
      <c r="C317" s="300">
        <v>1956</v>
      </c>
      <c r="D317" s="286">
        <v>10.5</v>
      </c>
      <c r="E317" s="299"/>
      <c r="F317" s="299"/>
      <c r="G317" s="288">
        <v>66898.476999999999</v>
      </c>
      <c r="H317" s="288">
        <v>71701.509999999995</v>
      </c>
      <c r="I317" s="288">
        <v>68123.947000000015</v>
      </c>
      <c r="J317" s="288">
        <v>70554.083999999988</v>
      </c>
      <c r="K317" s="288">
        <v>15429.729000000001</v>
      </c>
      <c r="L317" s="288">
        <v>23543.032999999996</v>
      </c>
      <c r="M317" s="288">
        <v>53982.859000000004</v>
      </c>
      <c r="N317" s="288">
        <v>69211.264999999999</v>
      </c>
      <c r="O317" s="288">
        <f t="shared" ref="O317" si="153">+AVERAGE(L317:N317)</f>
        <v>48912.385666666669</v>
      </c>
      <c r="P317" s="288">
        <f>+O317</f>
        <v>48912.385666666669</v>
      </c>
      <c r="Q317" s="288">
        <f t="shared" ref="Q317:AA317" si="154">+P317</f>
        <v>48912.385666666669</v>
      </c>
      <c r="R317" s="288">
        <f t="shared" si="154"/>
        <v>48912.385666666669</v>
      </c>
      <c r="S317" s="288">
        <f t="shared" si="154"/>
        <v>48912.385666666669</v>
      </c>
      <c r="T317" s="288">
        <f t="shared" si="154"/>
        <v>48912.385666666669</v>
      </c>
      <c r="U317" s="288">
        <f t="shared" si="154"/>
        <v>48912.385666666669</v>
      </c>
      <c r="V317" s="288">
        <f t="shared" si="154"/>
        <v>48912.385666666669</v>
      </c>
      <c r="W317" s="288">
        <f t="shared" si="154"/>
        <v>48912.385666666669</v>
      </c>
      <c r="X317" s="288">
        <f t="shared" si="154"/>
        <v>48912.385666666669</v>
      </c>
      <c r="Y317" s="288">
        <f t="shared" si="154"/>
        <v>48912.385666666669</v>
      </c>
      <c r="Z317" s="288">
        <f t="shared" si="154"/>
        <v>48912.385666666669</v>
      </c>
      <c r="AA317" s="288">
        <f t="shared" si="154"/>
        <v>48912.385666666669</v>
      </c>
    </row>
    <row r="318" spans="2:27" x14ac:dyDescent="0.3">
      <c r="B318" s="297" t="s">
        <v>316</v>
      </c>
      <c r="C318" s="308"/>
      <c r="D318" s="301"/>
      <c r="E318" s="297"/>
      <c r="F318" s="297"/>
      <c r="G318" s="298"/>
      <c r="H318" s="298"/>
      <c r="I318" s="298"/>
      <c r="J318" s="298"/>
      <c r="K318" s="298"/>
      <c r="L318" s="298"/>
      <c r="M318" s="298"/>
      <c r="N318" s="298"/>
      <c r="O318" s="298"/>
      <c r="P318" s="298"/>
      <c r="Q318" s="298"/>
      <c r="R318" s="298"/>
      <c r="S318" s="298"/>
      <c r="T318" s="298"/>
      <c r="U318" s="298"/>
      <c r="V318" s="298"/>
      <c r="W318" s="298"/>
      <c r="X318" s="298"/>
      <c r="Y318" s="298"/>
      <c r="Z318" s="298"/>
      <c r="AA318" s="298"/>
    </row>
    <row r="319" spans="2:27" x14ac:dyDescent="0.3">
      <c r="B319" s="299" t="s">
        <v>317</v>
      </c>
      <c r="C319" s="300">
        <v>2015</v>
      </c>
      <c r="D319" s="286">
        <v>3.8</v>
      </c>
      <c r="E319" s="299"/>
      <c r="F319" s="299"/>
      <c r="G319" s="288">
        <v>0</v>
      </c>
      <c r="H319" s="288">
        <v>0</v>
      </c>
      <c r="I319" s="288">
        <v>0</v>
      </c>
      <c r="J319" s="288">
        <v>0</v>
      </c>
      <c r="K319" s="288">
        <v>0</v>
      </c>
      <c r="L319" s="288">
        <v>2118.4740000000002</v>
      </c>
      <c r="M319" s="288">
        <v>5921.3628000000017</v>
      </c>
      <c r="N319" s="288">
        <v>9940.8974000000035</v>
      </c>
      <c r="O319" s="288">
        <f t="shared" ref="O319:O320" si="155">+AVERAGE(L319:N319)</f>
        <v>5993.5780666666687</v>
      </c>
      <c r="P319" s="288">
        <f t="shared" ref="P319:AA320" si="156">+O319</f>
        <v>5993.5780666666687</v>
      </c>
      <c r="Q319" s="288">
        <f t="shared" si="156"/>
        <v>5993.5780666666687</v>
      </c>
      <c r="R319" s="288">
        <f t="shared" si="156"/>
        <v>5993.5780666666687</v>
      </c>
      <c r="S319" s="288">
        <f t="shared" si="156"/>
        <v>5993.5780666666687</v>
      </c>
      <c r="T319" s="288">
        <f t="shared" si="156"/>
        <v>5993.5780666666687</v>
      </c>
      <c r="U319" s="288">
        <f t="shared" si="156"/>
        <v>5993.5780666666687</v>
      </c>
      <c r="V319" s="288">
        <f t="shared" si="156"/>
        <v>5993.5780666666687</v>
      </c>
      <c r="W319" s="288">
        <f t="shared" si="156"/>
        <v>5993.5780666666687</v>
      </c>
      <c r="X319" s="288">
        <f t="shared" si="156"/>
        <v>5993.5780666666687</v>
      </c>
      <c r="Y319" s="288">
        <f t="shared" si="156"/>
        <v>5993.5780666666687</v>
      </c>
      <c r="Z319" s="288">
        <f t="shared" si="156"/>
        <v>5993.5780666666687</v>
      </c>
      <c r="AA319" s="288">
        <f t="shared" si="156"/>
        <v>5993.5780666666687</v>
      </c>
    </row>
    <row r="320" spans="2:27" x14ac:dyDescent="0.3">
      <c r="B320" s="299" t="s">
        <v>318</v>
      </c>
      <c r="C320" s="300">
        <v>2015</v>
      </c>
      <c r="D320" s="286">
        <v>3.8</v>
      </c>
      <c r="E320" s="299"/>
      <c r="F320" s="299"/>
      <c r="G320" s="288">
        <v>0</v>
      </c>
      <c r="H320" s="288">
        <v>0</v>
      </c>
      <c r="I320" s="288">
        <v>0</v>
      </c>
      <c r="J320" s="288">
        <v>0</v>
      </c>
      <c r="K320" s="288">
        <v>0</v>
      </c>
      <c r="L320" s="288">
        <v>1880.5391999999999</v>
      </c>
      <c r="M320" s="288">
        <v>6106.0889999999999</v>
      </c>
      <c r="N320" s="288">
        <v>10262.133000000002</v>
      </c>
      <c r="O320" s="288">
        <f t="shared" si="155"/>
        <v>6082.9204</v>
      </c>
      <c r="P320" s="288">
        <f t="shared" si="156"/>
        <v>6082.9204</v>
      </c>
      <c r="Q320" s="288">
        <f t="shared" si="156"/>
        <v>6082.9204</v>
      </c>
      <c r="R320" s="288">
        <f t="shared" si="156"/>
        <v>6082.9204</v>
      </c>
      <c r="S320" s="288">
        <f t="shared" si="156"/>
        <v>6082.9204</v>
      </c>
      <c r="T320" s="288">
        <f t="shared" si="156"/>
        <v>6082.9204</v>
      </c>
      <c r="U320" s="288">
        <f t="shared" si="156"/>
        <v>6082.9204</v>
      </c>
      <c r="V320" s="288">
        <f t="shared" si="156"/>
        <v>6082.9204</v>
      </c>
      <c r="W320" s="288">
        <f t="shared" si="156"/>
        <v>6082.9204</v>
      </c>
      <c r="X320" s="288">
        <f t="shared" si="156"/>
        <v>6082.9204</v>
      </c>
      <c r="Y320" s="288">
        <f t="shared" si="156"/>
        <v>6082.9204</v>
      </c>
      <c r="Z320" s="288">
        <f t="shared" si="156"/>
        <v>6082.9204</v>
      </c>
      <c r="AA320" s="288">
        <f t="shared" si="156"/>
        <v>6082.9204</v>
      </c>
    </row>
    <row r="321" spans="2:27" x14ac:dyDescent="0.3">
      <c r="B321" s="297" t="s">
        <v>319</v>
      </c>
      <c r="C321" s="308"/>
      <c r="D321" s="338"/>
      <c r="E321" s="297"/>
      <c r="F321" s="297"/>
      <c r="G321" s="298"/>
      <c r="H321" s="298"/>
      <c r="I321" s="298"/>
      <c r="J321" s="298"/>
      <c r="K321" s="298"/>
      <c r="L321" s="298"/>
      <c r="M321" s="298"/>
      <c r="N321" s="298"/>
      <c r="O321" s="298"/>
      <c r="P321" s="298"/>
      <c r="Q321" s="298"/>
      <c r="R321" s="298"/>
      <c r="S321" s="298"/>
      <c r="T321" s="298"/>
      <c r="U321" s="298"/>
      <c r="V321" s="298"/>
      <c r="W321" s="298"/>
      <c r="X321" s="298"/>
      <c r="Y321" s="298"/>
      <c r="Z321" s="298"/>
      <c r="AA321" s="298"/>
    </row>
    <row r="322" spans="2:27" x14ac:dyDescent="0.3">
      <c r="B322" s="299" t="s">
        <v>320</v>
      </c>
      <c r="C322" s="300" t="s">
        <v>321</v>
      </c>
      <c r="D322" s="286">
        <v>91.105000000000004</v>
      </c>
      <c r="E322" s="299"/>
      <c r="F322" s="299"/>
      <c r="G322" s="288">
        <v>418380.17099999997</v>
      </c>
      <c r="H322" s="288">
        <v>477614.6</v>
      </c>
      <c r="I322" s="288">
        <v>485267.32000000007</v>
      </c>
      <c r="J322" s="288">
        <v>555713.26</v>
      </c>
      <c r="K322" s="288">
        <v>552076.43999999994</v>
      </c>
      <c r="L322" s="288">
        <v>560551.92799999996</v>
      </c>
      <c r="M322" s="288">
        <v>330698.88400000002</v>
      </c>
      <c r="N322" s="288">
        <v>431404.26799999998</v>
      </c>
      <c r="O322" s="288">
        <f t="shared" ref="O322" si="157">+AVERAGE(L322:N322)</f>
        <v>440885.02666666661</v>
      </c>
      <c r="P322" s="288">
        <f>+O322</f>
        <v>440885.02666666661</v>
      </c>
      <c r="Q322" s="288">
        <f t="shared" ref="Q322:AA322" si="158">+P322</f>
        <v>440885.02666666661</v>
      </c>
      <c r="R322" s="288">
        <f t="shared" si="158"/>
        <v>440885.02666666661</v>
      </c>
      <c r="S322" s="288">
        <f t="shared" si="158"/>
        <v>440885.02666666661</v>
      </c>
      <c r="T322" s="288">
        <f t="shared" si="158"/>
        <v>440885.02666666661</v>
      </c>
      <c r="U322" s="288">
        <f t="shared" si="158"/>
        <v>440885.02666666661</v>
      </c>
      <c r="V322" s="288">
        <f t="shared" si="158"/>
        <v>440885.02666666661</v>
      </c>
      <c r="W322" s="288">
        <f t="shared" si="158"/>
        <v>440885.02666666661</v>
      </c>
      <c r="X322" s="288">
        <f t="shared" si="158"/>
        <v>440885.02666666661</v>
      </c>
      <c r="Y322" s="288">
        <f t="shared" si="158"/>
        <v>440885.02666666661</v>
      </c>
      <c r="Z322" s="288">
        <f t="shared" si="158"/>
        <v>440885.02666666661</v>
      </c>
      <c r="AA322" s="288">
        <f t="shared" si="158"/>
        <v>440885.02666666661</v>
      </c>
    </row>
    <row r="323" spans="2:27" x14ac:dyDescent="0.3">
      <c r="B323" s="297" t="s">
        <v>322</v>
      </c>
      <c r="C323" s="308"/>
      <c r="D323" s="301"/>
      <c r="E323" s="297"/>
      <c r="F323" s="297"/>
      <c r="G323" s="298"/>
      <c r="H323" s="298"/>
      <c r="I323" s="298"/>
      <c r="J323" s="298"/>
      <c r="K323" s="298"/>
      <c r="L323" s="298"/>
      <c r="M323" s="298"/>
      <c r="N323" s="298"/>
      <c r="O323" s="298"/>
      <c r="P323" s="298"/>
      <c r="Q323" s="298"/>
      <c r="R323" s="298"/>
      <c r="S323" s="298"/>
      <c r="T323" s="298"/>
      <c r="U323" s="298"/>
      <c r="V323" s="298"/>
      <c r="W323" s="298"/>
      <c r="X323" s="298"/>
      <c r="Y323" s="298"/>
      <c r="Z323" s="298"/>
      <c r="AA323" s="298"/>
    </row>
    <row r="324" spans="2:27" x14ac:dyDescent="0.3">
      <c r="B324" s="299" t="s">
        <v>323</v>
      </c>
      <c r="C324" s="300">
        <v>2006</v>
      </c>
      <c r="D324" s="286">
        <v>6.9</v>
      </c>
      <c r="E324" s="299"/>
      <c r="F324" s="299"/>
      <c r="G324" s="288">
        <v>35381.828000000001</v>
      </c>
      <c r="H324" s="288">
        <v>40391.101000000002</v>
      </c>
      <c r="I324" s="288">
        <v>32300.107999999997</v>
      </c>
      <c r="J324" s="288">
        <v>36699.025999999998</v>
      </c>
      <c r="K324" s="288">
        <v>35041.322</v>
      </c>
      <c r="L324" s="288">
        <v>38808.311000000002</v>
      </c>
      <c r="M324" s="288">
        <v>27181.951999999997</v>
      </c>
      <c r="N324" s="288">
        <v>38544.047999999995</v>
      </c>
      <c r="O324" s="288">
        <f t="shared" ref="O324:O325" si="159">+AVERAGE(L324:N324)</f>
        <v>34844.770333333334</v>
      </c>
      <c r="P324" s="288">
        <f t="shared" ref="P324:AA325" si="160">+O324</f>
        <v>34844.770333333334</v>
      </c>
      <c r="Q324" s="288">
        <f t="shared" si="160"/>
        <v>34844.770333333334</v>
      </c>
      <c r="R324" s="288">
        <f t="shared" si="160"/>
        <v>34844.770333333334</v>
      </c>
      <c r="S324" s="288">
        <f t="shared" si="160"/>
        <v>34844.770333333334</v>
      </c>
      <c r="T324" s="288">
        <f t="shared" si="160"/>
        <v>34844.770333333334</v>
      </c>
      <c r="U324" s="288">
        <f t="shared" si="160"/>
        <v>34844.770333333334</v>
      </c>
      <c r="V324" s="288">
        <f t="shared" si="160"/>
        <v>34844.770333333334</v>
      </c>
      <c r="W324" s="288">
        <f t="shared" si="160"/>
        <v>34844.770333333334</v>
      </c>
      <c r="X324" s="288">
        <f t="shared" si="160"/>
        <v>34844.770333333334</v>
      </c>
      <c r="Y324" s="288">
        <f t="shared" si="160"/>
        <v>34844.770333333334</v>
      </c>
      <c r="Z324" s="288">
        <f t="shared" si="160"/>
        <v>34844.770333333334</v>
      </c>
      <c r="AA324" s="288">
        <f t="shared" si="160"/>
        <v>34844.770333333334</v>
      </c>
    </row>
    <row r="325" spans="2:27" x14ac:dyDescent="0.3">
      <c r="B325" s="299" t="s">
        <v>324</v>
      </c>
      <c r="C325" s="300">
        <v>2006</v>
      </c>
      <c r="D325" s="286">
        <v>10.69</v>
      </c>
      <c r="E325" s="299"/>
      <c r="F325" s="299"/>
      <c r="G325" s="288">
        <v>43128.714000000007</v>
      </c>
      <c r="H325" s="288">
        <v>46044.358999999997</v>
      </c>
      <c r="I325" s="288">
        <v>43194.46</v>
      </c>
      <c r="J325" s="288">
        <v>45291.724999999999</v>
      </c>
      <c r="K325" s="288">
        <v>48557.090000000004</v>
      </c>
      <c r="L325" s="288">
        <v>47305.845000000001</v>
      </c>
      <c r="M325" s="288">
        <v>39690.658000000003</v>
      </c>
      <c r="N325" s="288">
        <v>47225.397999999994</v>
      </c>
      <c r="O325" s="288">
        <f t="shared" si="159"/>
        <v>44740.633666666661</v>
      </c>
      <c r="P325" s="288">
        <f t="shared" si="160"/>
        <v>44740.633666666661</v>
      </c>
      <c r="Q325" s="288">
        <f t="shared" si="160"/>
        <v>44740.633666666661</v>
      </c>
      <c r="R325" s="288">
        <f t="shared" si="160"/>
        <v>44740.633666666661</v>
      </c>
      <c r="S325" s="288">
        <f t="shared" si="160"/>
        <v>44740.633666666661</v>
      </c>
      <c r="T325" s="288">
        <f t="shared" si="160"/>
        <v>44740.633666666661</v>
      </c>
      <c r="U325" s="288">
        <f t="shared" si="160"/>
        <v>44740.633666666661</v>
      </c>
      <c r="V325" s="288">
        <f t="shared" si="160"/>
        <v>44740.633666666661</v>
      </c>
      <c r="W325" s="288">
        <f t="shared" si="160"/>
        <v>44740.633666666661</v>
      </c>
      <c r="X325" s="288">
        <f t="shared" si="160"/>
        <v>44740.633666666661</v>
      </c>
      <c r="Y325" s="288">
        <f t="shared" si="160"/>
        <v>44740.633666666661</v>
      </c>
      <c r="Z325" s="288">
        <f t="shared" si="160"/>
        <v>44740.633666666661</v>
      </c>
      <c r="AA325" s="288">
        <f t="shared" si="160"/>
        <v>44740.633666666661</v>
      </c>
    </row>
    <row r="326" spans="2:27" x14ac:dyDescent="0.3">
      <c r="B326" s="297" t="s">
        <v>325</v>
      </c>
      <c r="C326" s="308"/>
      <c r="D326" s="301"/>
      <c r="E326" s="297"/>
      <c r="F326" s="297"/>
      <c r="G326" s="298"/>
      <c r="H326" s="298"/>
      <c r="I326" s="298"/>
      <c r="J326" s="298"/>
      <c r="K326" s="298"/>
      <c r="L326" s="298"/>
      <c r="M326" s="298"/>
      <c r="N326" s="298"/>
      <c r="O326" s="298"/>
      <c r="P326" s="298"/>
      <c r="Q326" s="298"/>
      <c r="R326" s="298"/>
      <c r="S326" s="298"/>
      <c r="T326" s="298"/>
      <c r="U326" s="298"/>
      <c r="V326" s="298"/>
      <c r="W326" s="298"/>
      <c r="X326" s="298"/>
      <c r="Y326" s="298"/>
      <c r="Z326" s="298"/>
      <c r="AA326" s="298"/>
    </row>
    <row r="327" spans="2:27" x14ac:dyDescent="0.3">
      <c r="B327" s="299" t="s">
        <v>326</v>
      </c>
      <c r="C327" s="300">
        <v>1997</v>
      </c>
      <c r="D327" s="286">
        <v>9.7200000000000006</v>
      </c>
      <c r="E327" s="299"/>
      <c r="F327" s="299"/>
      <c r="G327" s="288">
        <v>8884.2089999999989</v>
      </c>
      <c r="H327" s="288">
        <v>15926.226000000001</v>
      </c>
      <c r="I327" s="288">
        <v>12913.739999999998</v>
      </c>
      <c r="J327" s="288">
        <v>11358.185999999998</v>
      </c>
      <c r="K327" s="288">
        <v>10445.099</v>
      </c>
      <c r="L327" s="288">
        <v>12813.867</v>
      </c>
      <c r="M327" s="288">
        <v>6632.0620000000017</v>
      </c>
      <c r="N327" s="288">
        <v>11241.978999999999</v>
      </c>
      <c r="O327" s="288">
        <f t="shared" ref="O327" si="161">+AVERAGE(L327:N327)</f>
        <v>10229.302666666668</v>
      </c>
      <c r="P327" s="288">
        <f>+O327</f>
        <v>10229.302666666668</v>
      </c>
      <c r="Q327" s="288">
        <f t="shared" ref="Q327:AA327" si="162">+P327</f>
        <v>10229.302666666668</v>
      </c>
      <c r="R327" s="288">
        <f t="shared" si="162"/>
        <v>10229.302666666668</v>
      </c>
      <c r="S327" s="288">
        <f t="shared" si="162"/>
        <v>10229.302666666668</v>
      </c>
      <c r="T327" s="288">
        <f t="shared" si="162"/>
        <v>10229.302666666668</v>
      </c>
      <c r="U327" s="288">
        <f t="shared" si="162"/>
        <v>10229.302666666668</v>
      </c>
      <c r="V327" s="288">
        <f t="shared" si="162"/>
        <v>10229.302666666668</v>
      </c>
      <c r="W327" s="288">
        <f t="shared" si="162"/>
        <v>10229.302666666668</v>
      </c>
      <c r="X327" s="288">
        <f t="shared" si="162"/>
        <v>10229.302666666668</v>
      </c>
      <c r="Y327" s="288">
        <f t="shared" si="162"/>
        <v>10229.302666666668</v>
      </c>
      <c r="Z327" s="288">
        <f t="shared" si="162"/>
        <v>10229.302666666668</v>
      </c>
      <c r="AA327" s="288">
        <f t="shared" si="162"/>
        <v>10229.302666666668</v>
      </c>
    </row>
    <row r="328" spans="2:27" x14ac:dyDescent="0.3">
      <c r="B328" s="297" t="s">
        <v>327</v>
      </c>
      <c r="C328" s="308"/>
      <c r="D328" s="301"/>
      <c r="E328" s="297"/>
      <c r="F328" s="297"/>
      <c r="G328" s="298"/>
      <c r="H328" s="298"/>
      <c r="I328" s="298"/>
      <c r="J328" s="298"/>
      <c r="K328" s="298"/>
      <c r="L328" s="298"/>
      <c r="M328" s="298"/>
      <c r="N328" s="298"/>
      <c r="O328" s="298"/>
      <c r="P328" s="298"/>
      <c r="Q328" s="298"/>
      <c r="R328" s="298"/>
      <c r="S328" s="298"/>
      <c r="T328" s="298"/>
      <c r="U328" s="298"/>
      <c r="V328" s="298"/>
      <c r="W328" s="298"/>
      <c r="X328" s="298"/>
      <c r="Y328" s="298"/>
      <c r="Z328" s="298"/>
      <c r="AA328" s="298"/>
    </row>
    <row r="329" spans="2:27" x14ac:dyDescent="0.3">
      <c r="B329" s="299" t="s">
        <v>328</v>
      </c>
      <c r="C329" s="300">
        <v>2002</v>
      </c>
      <c r="D329" s="286">
        <v>50.784999999999997</v>
      </c>
      <c r="E329" s="299"/>
      <c r="F329" s="299"/>
      <c r="G329" s="288">
        <v>190812.26330156953</v>
      </c>
      <c r="H329" s="288">
        <v>206067.00099999999</v>
      </c>
      <c r="I329" s="288">
        <v>209706.07100000003</v>
      </c>
      <c r="J329" s="288">
        <v>223487.34744793986</v>
      </c>
      <c r="K329" s="288">
        <v>70571.212</v>
      </c>
      <c r="L329" s="288">
        <v>211398.55300000001</v>
      </c>
      <c r="M329" s="288">
        <v>155757.26200000002</v>
      </c>
      <c r="N329" s="288">
        <v>179334.13099999996</v>
      </c>
      <c r="O329" s="288">
        <f t="shared" ref="O329" si="163">+AVERAGE(L329:N329)</f>
        <v>182163.31533333333</v>
      </c>
      <c r="P329" s="288">
        <f>+O329</f>
        <v>182163.31533333333</v>
      </c>
      <c r="Q329" s="288">
        <f t="shared" ref="Q329:AA329" si="164">+P329</f>
        <v>182163.31533333333</v>
      </c>
      <c r="R329" s="288">
        <f t="shared" si="164"/>
        <v>182163.31533333333</v>
      </c>
      <c r="S329" s="288">
        <f t="shared" si="164"/>
        <v>182163.31533333333</v>
      </c>
      <c r="T329" s="288">
        <f t="shared" si="164"/>
        <v>182163.31533333333</v>
      </c>
      <c r="U329" s="288">
        <f t="shared" si="164"/>
        <v>182163.31533333333</v>
      </c>
      <c r="V329" s="288">
        <f t="shared" si="164"/>
        <v>182163.31533333333</v>
      </c>
      <c r="W329" s="288">
        <f t="shared" si="164"/>
        <v>182163.31533333333</v>
      </c>
      <c r="X329" s="288">
        <f t="shared" si="164"/>
        <v>182163.31533333333</v>
      </c>
      <c r="Y329" s="288">
        <f t="shared" si="164"/>
        <v>182163.31533333333</v>
      </c>
      <c r="Z329" s="288">
        <f t="shared" si="164"/>
        <v>182163.31533333333</v>
      </c>
      <c r="AA329" s="288">
        <f t="shared" si="164"/>
        <v>182163.31533333333</v>
      </c>
    </row>
    <row r="330" spans="2:27" x14ac:dyDescent="0.3">
      <c r="B330" s="297" t="s">
        <v>329</v>
      </c>
      <c r="C330" s="308"/>
      <c r="D330" s="301"/>
      <c r="E330" s="297"/>
      <c r="F330" s="297"/>
      <c r="G330" s="298"/>
      <c r="H330" s="298"/>
      <c r="I330" s="298"/>
      <c r="J330" s="298"/>
      <c r="K330" s="298"/>
      <c r="L330" s="298"/>
      <c r="M330" s="298"/>
      <c r="N330" s="298"/>
      <c r="O330" s="298"/>
      <c r="P330" s="298"/>
      <c r="Q330" s="298"/>
      <c r="R330" s="298"/>
      <c r="S330" s="298"/>
      <c r="T330" s="298"/>
      <c r="U330" s="298"/>
      <c r="V330" s="298"/>
      <c r="W330" s="298"/>
      <c r="X330" s="298"/>
      <c r="Y330" s="298"/>
      <c r="Z330" s="298"/>
      <c r="AA330" s="298"/>
    </row>
    <row r="331" spans="2:27" x14ac:dyDescent="0.3">
      <c r="B331" s="299" t="s">
        <v>330</v>
      </c>
      <c r="C331" s="300">
        <v>1997</v>
      </c>
      <c r="D331" s="286">
        <v>11.04</v>
      </c>
      <c r="E331" s="299"/>
      <c r="F331" s="299"/>
      <c r="G331" s="288">
        <v>11345.115999999998</v>
      </c>
      <c r="H331" s="288">
        <v>11062.147000000001</v>
      </c>
      <c r="I331" s="288">
        <v>9730.2360000000008</v>
      </c>
      <c r="J331" s="288">
        <v>8366.9229999999989</v>
      </c>
      <c r="K331" s="288">
        <v>9230.8360000000011</v>
      </c>
      <c r="L331" s="288">
        <v>9970.2779999999984</v>
      </c>
      <c r="M331" s="288">
        <v>9497.0040000000008</v>
      </c>
      <c r="N331" s="288">
        <v>10212.421999999999</v>
      </c>
      <c r="O331" s="288">
        <f t="shared" ref="O331" si="165">+AVERAGE(L331:N331)</f>
        <v>9893.2346666666654</v>
      </c>
      <c r="P331" s="288">
        <f>+O331</f>
        <v>9893.2346666666654</v>
      </c>
      <c r="Q331" s="288">
        <f t="shared" ref="Q331:AA331" si="166">+P331</f>
        <v>9893.2346666666654</v>
      </c>
      <c r="R331" s="288">
        <f t="shared" si="166"/>
        <v>9893.2346666666654</v>
      </c>
      <c r="S331" s="288">
        <f t="shared" si="166"/>
        <v>9893.2346666666654</v>
      </c>
      <c r="T331" s="288">
        <f t="shared" si="166"/>
        <v>9893.2346666666654</v>
      </c>
      <c r="U331" s="288">
        <f t="shared" si="166"/>
        <v>9893.2346666666654</v>
      </c>
      <c r="V331" s="288">
        <f t="shared" si="166"/>
        <v>9893.2346666666654</v>
      </c>
      <c r="W331" s="288">
        <f t="shared" si="166"/>
        <v>9893.2346666666654</v>
      </c>
      <c r="X331" s="288">
        <f t="shared" si="166"/>
        <v>9893.2346666666654</v>
      </c>
      <c r="Y331" s="288">
        <f t="shared" si="166"/>
        <v>9893.2346666666654</v>
      </c>
      <c r="Z331" s="288">
        <f t="shared" si="166"/>
        <v>9893.2346666666654</v>
      </c>
      <c r="AA331" s="288">
        <f t="shared" si="166"/>
        <v>9893.2346666666654</v>
      </c>
    </row>
    <row r="332" spans="2:27" x14ac:dyDescent="0.3">
      <c r="B332" s="339"/>
      <c r="C332" s="340"/>
      <c r="D332" s="332"/>
    </row>
    <row r="333" spans="2:27" x14ac:dyDescent="0.3">
      <c r="B333" s="243"/>
      <c r="C333" s="211"/>
      <c r="D333" s="211"/>
      <c r="E333" s="211"/>
      <c r="F333" s="244"/>
      <c r="G333" s="212">
        <v>2010</v>
      </c>
      <c r="H333" s="212">
        <v>2011</v>
      </c>
      <c r="I333" s="212">
        <v>2012</v>
      </c>
      <c r="J333" s="212">
        <v>2013</v>
      </c>
      <c r="K333" s="212">
        <v>2014</v>
      </c>
      <c r="L333" s="212">
        <v>2015</v>
      </c>
      <c r="M333" s="212">
        <v>2016</v>
      </c>
      <c r="N333" s="212">
        <v>2017</v>
      </c>
      <c r="O333" s="212">
        <v>2018</v>
      </c>
      <c r="P333" s="212">
        <v>2019</v>
      </c>
      <c r="Q333" s="212">
        <v>2020</v>
      </c>
      <c r="R333" s="212">
        <v>2021</v>
      </c>
      <c r="S333" s="212">
        <v>2022</v>
      </c>
      <c r="T333" s="212">
        <v>2023</v>
      </c>
      <c r="U333" s="212">
        <v>2024</v>
      </c>
      <c r="V333" s="212">
        <v>2025</v>
      </c>
      <c r="W333" s="212">
        <v>2026</v>
      </c>
      <c r="X333" s="212">
        <v>2027</v>
      </c>
      <c r="Y333" s="212">
        <v>2028</v>
      </c>
      <c r="Z333" s="212">
        <v>2029</v>
      </c>
      <c r="AA333" s="212">
        <v>2030</v>
      </c>
    </row>
    <row r="334" spans="2:27" ht="28.8" x14ac:dyDescent="0.3">
      <c r="B334" s="291" t="s">
        <v>164</v>
      </c>
      <c r="C334" s="292" t="s">
        <v>139</v>
      </c>
      <c r="D334" s="274" t="s">
        <v>140</v>
      </c>
      <c r="E334" s="293"/>
      <c r="F334" s="291"/>
      <c r="G334" s="294" t="s">
        <v>331</v>
      </c>
      <c r="H334" s="294" t="s">
        <v>331</v>
      </c>
      <c r="I334" s="294" t="s">
        <v>331</v>
      </c>
      <c r="J334" s="294" t="s">
        <v>331</v>
      </c>
      <c r="K334" s="294" t="s">
        <v>331</v>
      </c>
      <c r="L334" s="294" t="s">
        <v>331</v>
      </c>
      <c r="M334" s="294" t="s">
        <v>331</v>
      </c>
      <c r="N334" s="294" t="s">
        <v>331</v>
      </c>
      <c r="O334" s="294" t="s">
        <v>331</v>
      </c>
      <c r="P334" s="294" t="s">
        <v>331</v>
      </c>
      <c r="Q334" s="294" t="s">
        <v>331</v>
      </c>
      <c r="R334" s="294" t="s">
        <v>331</v>
      </c>
      <c r="S334" s="294" t="s">
        <v>331</v>
      </c>
      <c r="T334" s="294" t="s">
        <v>331</v>
      </c>
      <c r="U334" s="294" t="s">
        <v>331</v>
      </c>
      <c r="V334" s="294" t="s">
        <v>331</v>
      </c>
      <c r="W334" s="294" t="s">
        <v>331</v>
      </c>
      <c r="X334" s="294" t="s">
        <v>331</v>
      </c>
      <c r="Y334" s="294" t="s">
        <v>331</v>
      </c>
      <c r="Z334" s="294" t="s">
        <v>331</v>
      </c>
      <c r="AA334" s="294" t="s">
        <v>331</v>
      </c>
    </row>
    <row r="335" spans="2:27" x14ac:dyDescent="0.3">
      <c r="B335" s="305" t="s">
        <v>210</v>
      </c>
      <c r="C335" s="341"/>
      <c r="D335" s="306"/>
      <c r="E335" s="306"/>
      <c r="F335" s="306"/>
      <c r="G335" s="307">
        <f t="shared" ref="G335:M335" si="167">+SUM(G336:G340)</f>
        <v>58156.17</v>
      </c>
      <c r="H335" s="307">
        <f t="shared" si="167"/>
        <v>64040.52</v>
      </c>
      <c r="I335" s="307">
        <f t="shared" si="167"/>
        <v>64494.2</v>
      </c>
      <c r="J335" s="307">
        <f t="shared" si="167"/>
        <v>79491</v>
      </c>
      <c r="K335" s="307">
        <f t="shared" si="167"/>
        <v>76309.624999999985</v>
      </c>
      <c r="L335" s="307">
        <f t="shared" si="167"/>
        <v>79093.507500000007</v>
      </c>
      <c r="M335" s="307">
        <f t="shared" si="167"/>
        <v>61193.049750000006</v>
      </c>
      <c r="N335" s="307">
        <f>+SUM(N336:N340)</f>
        <v>44047.566999999995</v>
      </c>
      <c r="O335" s="307">
        <f>+SUM(O336:O340)</f>
        <v>61776.900333333338</v>
      </c>
      <c r="P335" s="307">
        <f t="shared" ref="P335:AA335" si="168">+SUM(P336:P340)</f>
        <v>61776.900333333338</v>
      </c>
      <c r="Q335" s="307">
        <f t="shared" si="168"/>
        <v>61776.900333333338</v>
      </c>
      <c r="R335" s="307">
        <f t="shared" si="168"/>
        <v>61776.900333333338</v>
      </c>
      <c r="S335" s="307">
        <f t="shared" si="168"/>
        <v>61776.900333333338</v>
      </c>
      <c r="T335" s="307">
        <f t="shared" si="168"/>
        <v>61776.900333333338</v>
      </c>
      <c r="U335" s="307">
        <f t="shared" si="168"/>
        <v>61776.900333333338</v>
      </c>
      <c r="V335" s="307">
        <f t="shared" si="168"/>
        <v>61776.900333333338</v>
      </c>
      <c r="W335" s="307">
        <f t="shared" si="168"/>
        <v>61776.900333333338</v>
      </c>
      <c r="X335" s="307">
        <f t="shared" si="168"/>
        <v>61776.900333333338</v>
      </c>
      <c r="Y335" s="307">
        <f t="shared" si="168"/>
        <v>61776.900333333338</v>
      </c>
      <c r="Z335" s="307">
        <f t="shared" si="168"/>
        <v>61776.900333333338</v>
      </c>
      <c r="AA335" s="307">
        <f t="shared" si="168"/>
        <v>61776.900333333338</v>
      </c>
    </row>
    <row r="336" spans="2:27" x14ac:dyDescent="0.3">
      <c r="B336" s="297" t="s">
        <v>332</v>
      </c>
      <c r="C336" s="308"/>
      <c r="D336" s="297"/>
      <c r="E336" s="297"/>
      <c r="F336" s="297"/>
      <c r="G336" s="298"/>
      <c r="H336" s="298"/>
      <c r="I336" s="298"/>
      <c r="J336" s="298"/>
      <c r="K336" s="298"/>
      <c r="L336" s="298"/>
      <c r="M336" s="298"/>
      <c r="N336" s="298"/>
      <c r="O336" s="298"/>
      <c r="P336" s="298"/>
      <c r="Q336" s="298"/>
      <c r="R336" s="298"/>
      <c r="S336" s="298"/>
      <c r="T336" s="298"/>
      <c r="U336" s="298"/>
      <c r="V336" s="298"/>
      <c r="W336" s="298"/>
      <c r="X336" s="298"/>
      <c r="Y336" s="298"/>
      <c r="Z336" s="298"/>
      <c r="AA336" s="298"/>
    </row>
    <row r="337" spans="2:27" x14ac:dyDescent="0.3">
      <c r="B337" s="299" t="s">
        <v>333</v>
      </c>
      <c r="C337" s="342">
        <v>2007</v>
      </c>
      <c r="D337" s="286">
        <v>21</v>
      </c>
      <c r="E337" s="299"/>
      <c r="F337" s="299"/>
      <c r="G337" s="288">
        <v>58156.17</v>
      </c>
      <c r="H337" s="288">
        <v>64040.52</v>
      </c>
      <c r="I337" s="288">
        <v>64494.2</v>
      </c>
      <c r="J337" s="288">
        <v>79491</v>
      </c>
      <c r="K337" s="288">
        <v>65694</v>
      </c>
      <c r="L337" s="288">
        <v>62146</v>
      </c>
      <c r="M337" s="288">
        <v>50538</v>
      </c>
      <c r="N337" s="288">
        <v>29748</v>
      </c>
      <c r="O337" s="288">
        <f t="shared" ref="O337" si="169">+AVERAGE(L337:N337)</f>
        <v>47477.333333333336</v>
      </c>
      <c r="P337" s="288">
        <f t="shared" ref="P337:AA338" si="170">+O337</f>
        <v>47477.333333333336</v>
      </c>
      <c r="Q337" s="288">
        <f t="shared" si="170"/>
        <v>47477.333333333336</v>
      </c>
      <c r="R337" s="288">
        <f t="shared" si="170"/>
        <v>47477.333333333336</v>
      </c>
      <c r="S337" s="288">
        <f t="shared" si="170"/>
        <v>47477.333333333336</v>
      </c>
      <c r="T337" s="288">
        <f t="shared" si="170"/>
        <v>47477.333333333336</v>
      </c>
      <c r="U337" s="288">
        <f t="shared" si="170"/>
        <v>47477.333333333336</v>
      </c>
      <c r="V337" s="288">
        <f t="shared" si="170"/>
        <v>47477.333333333336</v>
      </c>
      <c r="W337" s="288">
        <f t="shared" si="170"/>
        <v>47477.333333333336</v>
      </c>
      <c r="X337" s="288">
        <f t="shared" si="170"/>
        <v>47477.333333333336</v>
      </c>
      <c r="Y337" s="288">
        <f t="shared" si="170"/>
        <v>47477.333333333336</v>
      </c>
      <c r="Z337" s="288">
        <f t="shared" si="170"/>
        <v>47477.333333333336</v>
      </c>
      <c r="AA337" s="288">
        <f t="shared" si="170"/>
        <v>47477.333333333336</v>
      </c>
    </row>
    <row r="338" spans="2:27" x14ac:dyDescent="0.3">
      <c r="B338" s="299" t="s">
        <v>59</v>
      </c>
      <c r="C338" s="342">
        <v>2017</v>
      </c>
      <c r="D338" s="286">
        <v>5</v>
      </c>
      <c r="E338" s="299"/>
      <c r="F338" s="299"/>
      <c r="G338" s="288">
        <v>0</v>
      </c>
      <c r="H338" s="288">
        <v>0</v>
      </c>
      <c r="I338" s="288">
        <v>0</v>
      </c>
      <c r="J338" s="288">
        <v>0</v>
      </c>
      <c r="K338" s="288">
        <v>0</v>
      </c>
      <c r="L338" s="288">
        <v>0</v>
      </c>
      <c r="M338" s="288">
        <v>0</v>
      </c>
      <c r="N338" s="288">
        <v>3137</v>
      </c>
      <c r="O338" s="288">
        <f>+N338</f>
        <v>3137</v>
      </c>
      <c r="P338" s="288">
        <f t="shared" si="170"/>
        <v>3137</v>
      </c>
      <c r="Q338" s="288">
        <f t="shared" si="170"/>
        <v>3137</v>
      </c>
      <c r="R338" s="288">
        <f t="shared" si="170"/>
        <v>3137</v>
      </c>
      <c r="S338" s="288">
        <f t="shared" si="170"/>
        <v>3137</v>
      </c>
      <c r="T338" s="288">
        <f t="shared" si="170"/>
        <v>3137</v>
      </c>
      <c r="U338" s="288">
        <f t="shared" si="170"/>
        <v>3137</v>
      </c>
      <c r="V338" s="288">
        <f t="shared" si="170"/>
        <v>3137</v>
      </c>
      <c r="W338" s="288">
        <f t="shared" si="170"/>
        <v>3137</v>
      </c>
      <c r="X338" s="288">
        <f t="shared" si="170"/>
        <v>3137</v>
      </c>
      <c r="Y338" s="288">
        <f t="shared" si="170"/>
        <v>3137</v>
      </c>
      <c r="Z338" s="288">
        <f t="shared" si="170"/>
        <v>3137</v>
      </c>
      <c r="AA338" s="288">
        <f t="shared" si="170"/>
        <v>3137</v>
      </c>
    </row>
    <row r="339" spans="2:27" x14ac:dyDescent="0.3">
      <c r="B339" s="297" t="s">
        <v>160</v>
      </c>
      <c r="C339" s="308"/>
      <c r="D339" s="297"/>
      <c r="E339" s="297"/>
      <c r="F339" s="297"/>
      <c r="G339" s="298"/>
      <c r="H339" s="298"/>
      <c r="I339" s="298"/>
      <c r="J339" s="298"/>
      <c r="K339" s="298"/>
      <c r="L339" s="298"/>
      <c r="M339" s="298"/>
      <c r="N339" s="298"/>
      <c r="O339" s="298"/>
      <c r="P339" s="298"/>
      <c r="Q339" s="298"/>
      <c r="R339" s="298"/>
      <c r="S339" s="298"/>
      <c r="T339" s="298"/>
      <c r="U339" s="298"/>
      <c r="V339" s="298"/>
      <c r="W339" s="298"/>
      <c r="X339" s="298"/>
      <c r="Y339" s="298"/>
      <c r="Z339" s="298"/>
      <c r="AA339" s="298"/>
    </row>
    <row r="340" spans="2:27" x14ac:dyDescent="0.3">
      <c r="B340" s="299" t="s">
        <v>60</v>
      </c>
      <c r="C340" s="342">
        <v>2014</v>
      </c>
      <c r="D340" s="286">
        <v>14.57</v>
      </c>
      <c r="E340" s="299"/>
      <c r="F340" s="299"/>
      <c r="G340" s="288">
        <v>0</v>
      </c>
      <c r="H340" s="288">
        <v>0</v>
      </c>
      <c r="I340" s="288">
        <v>0</v>
      </c>
      <c r="J340" s="288">
        <v>0</v>
      </c>
      <c r="K340" s="288">
        <v>10615.624999999991</v>
      </c>
      <c r="L340" s="288">
        <v>16947.507500000011</v>
      </c>
      <c r="M340" s="288">
        <v>10655.049750000002</v>
      </c>
      <c r="N340" s="288">
        <v>11162.566999999999</v>
      </c>
      <c r="O340" s="288">
        <f>+N340</f>
        <v>11162.566999999999</v>
      </c>
      <c r="P340" s="288">
        <f>+O340</f>
        <v>11162.566999999999</v>
      </c>
      <c r="Q340" s="288">
        <f t="shared" ref="Q340:AA340" si="171">+P340</f>
        <v>11162.566999999999</v>
      </c>
      <c r="R340" s="288">
        <f t="shared" si="171"/>
        <v>11162.566999999999</v>
      </c>
      <c r="S340" s="288">
        <f t="shared" si="171"/>
        <v>11162.566999999999</v>
      </c>
      <c r="T340" s="288">
        <f t="shared" si="171"/>
        <v>11162.566999999999</v>
      </c>
      <c r="U340" s="288">
        <f t="shared" si="171"/>
        <v>11162.566999999999</v>
      </c>
      <c r="V340" s="288">
        <f t="shared" si="171"/>
        <v>11162.566999999999</v>
      </c>
      <c r="W340" s="288">
        <f t="shared" si="171"/>
        <v>11162.566999999999</v>
      </c>
      <c r="X340" s="288">
        <f t="shared" si="171"/>
        <v>11162.566999999999</v>
      </c>
      <c r="Y340" s="288">
        <f t="shared" si="171"/>
        <v>11162.566999999999</v>
      </c>
      <c r="Z340" s="288">
        <f t="shared" si="171"/>
        <v>11162.566999999999</v>
      </c>
      <c r="AA340" s="288">
        <f t="shared" si="171"/>
        <v>11162.566999999999</v>
      </c>
    </row>
    <row r="341" spans="2:27" x14ac:dyDescent="0.3">
      <c r="B341" s="339"/>
      <c r="C341" s="343"/>
      <c r="D341" s="332"/>
    </row>
    <row r="342" spans="2:27" x14ac:dyDescent="0.3">
      <c r="B342" s="243"/>
      <c r="C342" s="211"/>
      <c r="D342" s="211"/>
      <c r="E342" s="211"/>
      <c r="F342" s="244"/>
      <c r="G342" s="212">
        <v>2010</v>
      </c>
      <c r="H342" s="212">
        <v>2011</v>
      </c>
      <c r="I342" s="212">
        <v>2012</v>
      </c>
      <c r="J342" s="212">
        <v>2013</v>
      </c>
      <c r="K342" s="212">
        <v>2014</v>
      </c>
      <c r="L342" s="212">
        <v>2015</v>
      </c>
      <c r="M342" s="212">
        <v>2016</v>
      </c>
      <c r="N342" s="212">
        <v>2017</v>
      </c>
      <c r="O342" s="212">
        <v>2018</v>
      </c>
      <c r="P342" s="212">
        <v>2019</v>
      </c>
      <c r="Q342" s="212">
        <v>2020</v>
      </c>
      <c r="R342" s="212">
        <v>2021</v>
      </c>
      <c r="S342" s="212">
        <v>2022</v>
      </c>
      <c r="T342" s="212">
        <v>2023</v>
      </c>
      <c r="U342" s="212">
        <v>2024</v>
      </c>
      <c r="V342" s="212">
        <v>2025</v>
      </c>
      <c r="W342" s="212">
        <v>2026</v>
      </c>
      <c r="X342" s="212">
        <v>2027</v>
      </c>
      <c r="Y342" s="212">
        <v>2028</v>
      </c>
      <c r="Z342" s="212">
        <v>2029</v>
      </c>
      <c r="AA342" s="212">
        <v>2030</v>
      </c>
    </row>
    <row r="343" spans="2:27" ht="28.8" x14ac:dyDescent="0.3">
      <c r="B343" s="291" t="s">
        <v>164</v>
      </c>
      <c r="C343" s="292" t="s">
        <v>139</v>
      </c>
      <c r="D343" s="274" t="s">
        <v>140</v>
      </c>
      <c r="E343" s="293" t="s">
        <v>141</v>
      </c>
      <c r="F343" s="291"/>
      <c r="G343" s="294" t="s">
        <v>331</v>
      </c>
      <c r="H343" s="294" t="s">
        <v>331</v>
      </c>
      <c r="I343" s="294" t="s">
        <v>331</v>
      </c>
      <c r="J343" s="294" t="s">
        <v>331</v>
      </c>
      <c r="K343" s="294" t="s">
        <v>331</v>
      </c>
      <c r="L343" s="294" t="s">
        <v>331</v>
      </c>
      <c r="M343" s="294" t="s">
        <v>331</v>
      </c>
      <c r="N343" s="294" t="s">
        <v>331</v>
      </c>
      <c r="O343" s="294" t="s">
        <v>331</v>
      </c>
      <c r="P343" s="294" t="s">
        <v>331</v>
      </c>
      <c r="Q343" s="294" t="s">
        <v>331</v>
      </c>
      <c r="R343" s="294" t="s">
        <v>331</v>
      </c>
      <c r="S343" s="294" t="s">
        <v>331</v>
      </c>
      <c r="T343" s="294" t="s">
        <v>331</v>
      </c>
      <c r="U343" s="294" t="s">
        <v>331</v>
      </c>
      <c r="V343" s="294" t="s">
        <v>331</v>
      </c>
      <c r="W343" s="294" t="s">
        <v>331</v>
      </c>
      <c r="X343" s="294" t="s">
        <v>331</v>
      </c>
      <c r="Y343" s="294" t="s">
        <v>331</v>
      </c>
      <c r="Z343" s="294" t="s">
        <v>331</v>
      </c>
      <c r="AA343" s="294" t="s">
        <v>331</v>
      </c>
    </row>
    <row r="344" spans="2:27" x14ac:dyDescent="0.3">
      <c r="B344" s="305" t="s">
        <v>190</v>
      </c>
      <c r="C344" s="306"/>
      <c r="D344" s="306"/>
      <c r="E344" s="306"/>
      <c r="F344" s="306"/>
      <c r="G344" s="307">
        <f t="shared" ref="G344:M344" si="172">+SUM(G345:G347)</f>
        <v>0</v>
      </c>
      <c r="H344" s="307">
        <f t="shared" si="172"/>
        <v>0</v>
      </c>
      <c r="I344" s="307">
        <f t="shared" si="172"/>
        <v>0</v>
      </c>
      <c r="J344" s="307">
        <f t="shared" si="172"/>
        <v>36.528500000000001</v>
      </c>
      <c r="K344" s="307">
        <f t="shared" si="172"/>
        <v>8157.7569999999996</v>
      </c>
      <c r="L344" s="307">
        <f t="shared" si="172"/>
        <v>11450.126</v>
      </c>
      <c r="M344" s="307">
        <f t="shared" si="172"/>
        <v>34911.444000000003</v>
      </c>
      <c r="N344" s="307">
        <f>+SUM(N345:N347)</f>
        <v>60383.278999999995</v>
      </c>
      <c r="O344" s="307">
        <f t="shared" ref="O344:AA344" si="173">+SUM(O345:O347)</f>
        <v>86072.578999999998</v>
      </c>
      <c r="P344" s="307">
        <f t="shared" si="173"/>
        <v>86072.578999999998</v>
      </c>
      <c r="Q344" s="307">
        <f t="shared" si="173"/>
        <v>86072.578999999998</v>
      </c>
      <c r="R344" s="307">
        <f t="shared" si="173"/>
        <v>86072.578999999998</v>
      </c>
      <c r="S344" s="307">
        <f t="shared" si="173"/>
        <v>86072.578999999998</v>
      </c>
      <c r="T344" s="307">
        <f t="shared" si="173"/>
        <v>86072.578999999998</v>
      </c>
      <c r="U344" s="307">
        <f t="shared" si="173"/>
        <v>86072.578999999998</v>
      </c>
      <c r="V344" s="307">
        <f t="shared" si="173"/>
        <v>86072.578999999998</v>
      </c>
      <c r="W344" s="307">
        <f t="shared" si="173"/>
        <v>86072.578999999998</v>
      </c>
      <c r="X344" s="307">
        <f t="shared" si="173"/>
        <v>86072.578999999998</v>
      </c>
      <c r="Y344" s="307">
        <f t="shared" si="173"/>
        <v>86072.578999999998</v>
      </c>
      <c r="Z344" s="307">
        <f t="shared" si="173"/>
        <v>86072.578999999998</v>
      </c>
      <c r="AA344" s="307">
        <f t="shared" si="173"/>
        <v>86072.578999999998</v>
      </c>
    </row>
    <row r="345" spans="2:27" x14ac:dyDescent="0.3">
      <c r="B345" s="297" t="s">
        <v>334</v>
      </c>
      <c r="C345" s="297"/>
      <c r="D345" s="297"/>
      <c r="E345" s="297"/>
      <c r="F345" s="297"/>
      <c r="G345" s="298"/>
      <c r="H345" s="298"/>
      <c r="I345" s="298"/>
      <c r="J345" s="298"/>
      <c r="K345" s="298"/>
      <c r="L345" s="298"/>
      <c r="M345" s="298"/>
      <c r="N345" s="298"/>
      <c r="O345" s="298"/>
      <c r="P345" s="298"/>
      <c r="Q345" s="298"/>
      <c r="R345" s="298"/>
      <c r="S345" s="298"/>
      <c r="T345" s="298"/>
      <c r="U345" s="298"/>
      <c r="V345" s="298"/>
      <c r="W345" s="298"/>
      <c r="X345" s="298"/>
      <c r="Y345" s="298"/>
      <c r="Z345" s="298"/>
      <c r="AA345" s="298"/>
    </row>
    <row r="346" spans="2:27" x14ac:dyDescent="0.3">
      <c r="B346" s="299" t="s">
        <v>335</v>
      </c>
      <c r="C346" s="344">
        <v>2013</v>
      </c>
      <c r="D346" s="286">
        <v>3</v>
      </c>
      <c r="E346" s="300">
        <v>0.35</v>
      </c>
      <c r="F346" s="299"/>
      <c r="G346" s="288">
        <v>0</v>
      </c>
      <c r="H346" s="288">
        <v>0</v>
      </c>
      <c r="I346" s="288">
        <v>0</v>
      </c>
      <c r="J346" s="288">
        <v>36.528500000000001</v>
      </c>
      <c r="K346" s="288">
        <v>8157.7569999999996</v>
      </c>
      <c r="L346" s="288">
        <v>11450.126</v>
      </c>
      <c r="M346" s="288">
        <v>13207.373</v>
      </c>
      <c r="N346" s="288">
        <v>12488.579</v>
      </c>
      <c r="O346" s="288">
        <f>+N346</f>
        <v>12488.579</v>
      </c>
      <c r="P346" s="288">
        <f>+O346</f>
        <v>12488.579</v>
      </c>
      <c r="Q346" s="288">
        <f t="shared" ref="Q346:AA347" si="174">+P346</f>
        <v>12488.579</v>
      </c>
      <c r="R346" s="288">
        <f t="shared" si="174"/>
        <v>12488.579</v>
      </c>
      <c r="S346" s="288">
        <f t="shared" si="174"/>
        <v>12488.579</v>
      </c>
      <c r="T346" s="288">
        <f t="shared" si="174"/>
        <v>12488.579</v>
      </c>
      <c r="U346" s="288">
        <f t="shared" si="174"/>
        <v>12488.579</v>
      </c>
      <c r="V346" s="288">
        <f t="shared" si="174"/>
        <v>12488.579</v>
      </c>
      <c r="W346" s="288">
        <f t="shared" si="174"/>
        <v>12488.579</v>
      </c>
      <c r="X346" s="288">
        <f t="shared" si="174"/>
        <v>12488.579</v>
      </c>
      <c r="Y346" s="288">
        <f t="shared" si="174"/>
        <v>12488.579</v>
      </c>
      <c r="Z346" s="288">
        <f t="shared" si="174"/>
        <v>12488.579</v>
      </c>
      <c r="AA346" s="288">
        <f t="shared" si="174"/>
        <v>12488.579</v>
      </c>
    </row>
    <row r="347" spans="2:27" x14ac:dyDescent="0.3">
      <c r="B347" s="299" t="s">
        <v>336</v>
      </c>
      <c r="C347" s="344">
        <v>2016</v>
      </c>
      <c r="D347" s="286">
        <v>24</v>
      </c>
      <c r="E347" s="300">
        <v>0.35</v>
      </c>
      <c r="F347" s="299"/>
      <c r="G347" s="288">
        <v>0</v>
      </c>
      <c r="H347" s="288">
        <v>0</v>
      </c>
      <c r="I347" s="288">
        <v>0</v>
      </c>
      <c r="J347" s="288">
        <v>0</v>
      </c>
      <c r="K347" s="288">
        <v>0</v>
      </c>
      <c r="L347" s="288">
        <v>0</v>
      </c>
      <c r="M347" s="288">
        <v>21704.071000000004</v>
      </c>
      <c r="N347" s="288">
        <v>47894.7</v>
      </c>
      <c r="O347" s="288">
        <f>+D347*8760*E347</f>
        <v>73584</v>
      </c>
      <c r="P347" s="288">
        <f>+O347</f>
        <v>73584</v>
      </c>
      <c r="Q347" s="288">
        <f t="shared" si="174"/>
        <v>73584</v>
      </c>
      <c r="R347" s="288">
        <f t="shared" si="174"/>
        <v>73584</v>
      </c>
      <c r="S347" s="288">
        <f t="shared" si="174"/>
        <v>73584</v>
      </c>
      <c r="T347" s="288">
        <f t="shared" si="174"/>
        <v>73584</v>
      </c>
      <c r="U347" s="288">
        <f t="shared" si="174"/>
        <v>73584</v>
      </c>
      <c r="V347" s="288">
        <f t="shared" si="174"/>
        <v>73584</v>
      </c>
      <c r="W347" s="288">
        <f t="shared" si="174"/>
        <v>73584</v>
      </c>
      <c r="X347" s="288">
        <f t="shared" si="174"/>
        <v>73584</v>
      </c>
      <c r="Y347" s="288">
        <f t="shared" si="174"/>
        <v>73584</v>
      </c>
      <c r="Z347" s="288">
        <f t="shared" si="174"/>
        <v>73584</v>
      </c>
      <c r="AA347" s="288">
        <f t="shared" si="174"/>
        <v>73584</v>
      </c>
    </row>
  </sheetData>
  <conditionalFormatting sqref="F191:F25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6"/>
  <sheetViews>
    <sheetView tabSelected="1" topLeftCell="A34" workbookViewId="0">
      <selection activeCell="I30" sqref="I30"/>
    </sheetView>
  </sheetViews>
  <sheetFormatPr baseColWidth="10" defaultRowHeight="14.4" x14ac:dyDescent="0.3"/>
  <cols>
    <col min="2" max="2" width="22.109375" style="207" customWidth="1"/>
    <col min="3" max="3" width="12" style="207" customWidth="1"/>
    <col min="4" max="4" width="10.6640625" style="207" customWidth="1"/>
    <col min="5" max="5" width="9.109375" style="207" customWidth="1"/>
    <col min="6" max="6" width="8.6640625" style="207" customWidth="1"/>
  </cols>
  <sheetData>
    <row r="3" spans="2:6" ht="15" thickBot="1" x14ac:dyDescent="0.35">
      <c r="B3" s="219"/>
      <c r="C3" s="219"/>
      <c r="D3" s="219"/>
      <c r="E3" s="219"/>
      <c r="F3" s="219"/>
    </row>
    <row r="4" spans="2:6" ht="29.4" thickBot="1" x14ac:dyDescent="0.35">
      <c r="B4" s="346" t="s">
        <v>137</v>
      </c>
      <c r="C4" s="347"/>
      <c r="D4" s="347"/>
      <c r="E4" s="347"/>
      <c r="F4" s="348"/>
    </row>
    <row r="5" spans="2:6" x14ac:dyDescent="0.3">
      <c r="B5" s="219"/>
      <c r="C5" s="219"/>
      <c r="D5" s="219"/>
      <c r="E5" s="219"/>
      <c r="F5" s="219"/>
    </row>
    <row r="6" spans="2:6" x14ac:dyDescent="0.3">
      <c r="B6" s="243"/>
      <c r="C6" s="211"/>
      <c r="D6" s="211"/>
      <c r="E6" s="211"/>
      <c r="F6" s="244"/>
    </row>
    <row r="7" spans="2:6" ht="43.8" customHeight="1" thickBot="1" x14ac:dyDescent="0.3">
      <c r="B7" s="349" t="s">
        <v>138</v>
      </c>
      <c r="C7" s="350" t="s">
        <v>139</v>
      </c>
      <c r="D7" s="350" t="s">
        <v>140</v>
      </c>
      <c r="E7" s="350" t="s">
        <v>141</v>
      </c>
      <c r="F7" s="351" t="s">
        <v>142</v>
      </c>
    </row>
    <row r="8" spans="2:6" x14ac:dyDescent="0.3">
      <c r="B8" s="352" t="s">
        <v>144</v>
      </c>
      <c r="C8" s="353"/>
      <c r="D8" s="353"/>
      <c r="E8" s="353"/>
      <c r="F8" s="354"/>
    </row>
    <row r="9" spans="2:6" x14ac:dyDescent="0.3">
      <c r="B9" s="355" t="s">
        <v>159</v>
      </c>
      <c r="C9" s="282"/>
      <c r="D9" s="282"/>
      <c r="E9" s="282"/>
      <c r="F9" s="356"/>
    </row>
    <row r="10" spans="2:6" x14ac:dyDescent="0.3">
      <c r="B10" s="357" t="str">
        <f>+B9</f>
        <v>Guaracachi</v>
      </c>
      <c r="C10" s="285"/>
      <c r="D10" s="286"/>
      <c r="E10" s="286"/>
      <c r="F10" s="358"/>
    </row>
    <row r="11" spans="2:6" x14ac:dyDescent="0.3">
      <c r="B11" s="355" t="s">
        <v>160</v>
      </c>
      <c r="C11" s="282"/>
      <c r="D11" s="282"/>
      <c r="E11" s="282"/>
      <c r="F11" s="356"/>
    </row>
    <row r="12" spans="2:6" x14ac:dyDescent="0.3">
      <c r="B12" s="357" t="str">
        <f>+B11</f>
        <v>Santa Cruz</v>
      </c>
      <c r="C12" s="285"/>
      <c r="D12" s="286"/>
      <c r="E12" s="286"/>
      <c r="F12" s="358"/>
    </row>
    <row r="13" spans="2:6" x14ac:dyDescent="0.3">
      <c r="B13" s="355" t="s">
        <v>161</v>
      </c>
      <c r="C13" s="282"/>
      <c r="D13" s="282"/>
      <c r="E13" s="282"/>
      <c r="F13" s="356"/>
    </row>
    <row r="14" spans="2:6" x14ac:dyDescent="0.3">
      <c r="B14" s="357" t="str">
        <f>+B13</f>
        <v>Carrasco</v>
      </c>
      <c r="C14" s="285"/>
      <c r="D14" s="286"/>
      <c r="E14" s="286"/>
      <c r="F14" s="358"/>
    </row>
    <row r="15" spans="2:6" x14ac:dyDescent="0.3">
      <c r="B15" s="355" t="s">
        <v>162</v>
      </c>
      <c r="C15" s="282"/>
      <c r="D15" s="282"/>
      <c r="E15" s="282"/>
      <c r="F15" s="356"/>
    </row>
    <row r="16" spans="2:6" x14ac:dyDescent="0.3">
      <c r="B16" s="357" t="str">
        <f>+B15</f>
        <v>Natural Gas A</v>
      </c>
      <c r="C16" s="285"/>
      <c r="D16" s="289"/>
      <c r="E16" s="290"/>
      <c r="F16" s="359"/>
    </row>
    <row r="17" spans="2:6" x14ac:dyDescent="0.3">
      <c r="B17" s="355" t="s">
        <v>163</v>
      </c>
      <c r="C17" s="282"/>
      <c r="D17" s="282"/>
      <c r="E17" s="282"/>
      <c r="F17" s="356"/>
    </row>
    <row r="18" spans="2:6" ht="15" thickBot="1" x14ac:dyDescent="0.35">
      <c r="B18" s="360" t="str">
        <f>+B17</f>
        <v>Natural Gas B</v>
      </c>
      <c r="C18" s="361"/>
      <c r="D18" s="362"/>
      <c r="E18" s="363"/>
      <c r="F18" s="364"/>
    </row>
    <row r="19" spans="2:6" x14ac:dyDescent="0.3">
      <c r="B19" s="219"/>
      <c r="C19" s="219"/>
      <c r="D19" s="219"/>
      <c r="E19" s="219"/>
      <c r="F19" s="219"/>
    </row>
    <row r="20" spans="2:6" ht="28.8" x14ac:dyDescent="0.3">
      <c r="B20" s="291" t="s">
        <v>164</v>
      </c>
      <c r="C20" s="292" t="s">
        <v>139</v>
      </c>
      <c r="D20" s="274" t="s">
        <v>140</v>
      </c>
      <c r="E20" s="293" t="s">
        <v>141</v>
      </c>
      <c r="F20" s="293"/>
    </row>
    <row r="21" spans="2:6" x14ac:dyDescent="0.3">
      <c r="B21" s="295" t="s">
        <v>165</v>
      </c>
      <c r="C21" s="295"/>
      <c r="D21" s="295"/>
      <c r="E21" s="295"/>
      <c r="F21" s="295"/>
    </row>
    <row r="22" spans="2:6" x14ac:dyDescent="0.3">
      <c r="B22" s="297" t="s">
        <v>174</v>
      </c>
      <c r="C22" s="297"/>
      <c r="D22" s="301"/>
      <c r="E22" s="297"/>
      <c r="F22" s="297"/>
    </row>
    <row r="23" spans="2:6" x14ac:dyDescent="0.3">
      <c r="B23" s="299" t="str">
        <f>+B22</f>
        <v>Banda Azul</v>
      </c>
      <c r="C23" s="300">
        <v>2020</v>
      </c>
      <c r="D23" s="337">
        <v>93</v>
      </c>
      <c r="E23" s="300">
        <v>0.5</v>
      </c>
      <c r="F23" s="300"/>
    </row>
    <row r="24" spans="2:6" x14ac:dyDescent="0.3">
      <c r="B24" s="297" t="s">
        <v>175</v>
      </c>
      <c r="C24" s="297"/>
      <c r="D24" s="345"/>
      <c r="E24" s="297"/>
      <c r="F24" s="297"/>
    </row>
    <row r="25" spans="2:6" x14ac:dyDescent="0.3">
      <c r="B25" s="299" t="str">
        <f>+B24</f>
        <v>Pequenas centrales</v>
      </c>
      <c r="C25" s="300">
        <v>2020</v>
      </c>
      <c r="D25" s="337">
        <v>200</v>
      </c>
      <c r="E25" s="300">
        <v>0.5</v>
      </c>
      <c r="F25" s="300"/>
    </row>
    <row r="26" spans="2:6" x14ac:dyDescent="0.3">
      <c r="B26" s="297" t="s">
        <v>176</v>
      </c>
      <c r="C26" s="297"/>
      <c r="D26" s="345"/>
      <c r="E26" s="297"/>
      <c r="F26" s="297"/>
    </row>
    <row r="27" spans="2:6" x14ac:dyDescent="0.3">
      <c r="B27" s="299" t="str">
        <f>+B26</f>
        <v>Carrizal</v>
      </c>
      <c r="C27" s="300">
        <v>2025</v>
      </c>
      <c r="D27" s="337">
        <v>347</v>
      </c>
      <c r="E27" s="300">
        <v>0.5</v>
      </c>
      <c r="F27" s="300"/>
    </row>
    <row r="28" spans="2:6" x14ac:dyDescent="0.3">
      <c r="B28" s="297" t="s">
        <v>177</v>
      </c>
      <c r="C28" s="297"/>
      <c r="D28" s="345"/>
      <c r="E28" s="297"/>
      <c r="F28" s="297"/>
    </row>
    <row r="29" spans="2:6" x14ac:dyDescent="0.3">
      <c r="B29" s="299" t="str">
        <f>+B28</f>
        <v>Cambari</v>
      </c>
      <c r="C29" s="300">
        <v>2025</v>
      </c>
      <c r="D29" s="337">
        <v>93</v>
      </c>
      <c r="E29" s="300">
        <v>0.5</v>
      </c>
      <c r="F29" s="300"/>
    </row>
    <row r="30" spans="2:6" x14ac:dyDescent="0.3">
      <c r="B30" s="297" t="s">
        <v>178</v>
      </c>
      <c r="C30" s="297"/>
      <c r="D30" s="345"/>
      <c r="E30" s="297"/>
      <c r="F30" s="297"/>
    </row>
    <row r="31" spans="2:6" x14ac:dyDescent="0.3">
      <c r="B31" s="299" t="str">
        <f>+B30</f>
        <v>Cuenca Corani</v>
      </c>
      <c r="C31" s="300">
        <v>2025</v>
      </c>
      <c r="D31" s="337">
        <v>220</v>
      </c>
      <c r="E31" s="300">
        <v>0.5</v>
      </c>
      <c r="F31" s="300"/>
    </row>
    <row r="32" spans="2:6" x14ac:dyDescent="0.3">
      <c r="B32" s="297" t="s">
        <v>179</v>
      </c>
      <c r="C32" s="297"/>
      <c r="D32" s="345"/>
      <c r="E32" s="297"/>
      <c r="F32" s="297"/>
    </row>
    <row r="33" spans="2:6" x14ac:dyDescent="0.3">
      <c r="B33" s="299" t="str">
        <f>+B32</f>
        <v>Moliineros</v>
      </c>
      <c r="C33" s="300">
        <v>2025</v>
      </c>
      <c r="D33" s="337">
        <v>132</v>
      </c>
      <c r="E33" s="300">
        <v>0.5</v>
      </c>
      <c r="F33" s="300"/>
    </row>
    <row r="34" spans="2:6" x14ac:dyDescent="0.3">
      <c r="B34" s="297" t="s">
        <v>180</v>
      </c>
      <c r="C34" s="297"/>
      <c r="D34" s="345"/>
      <c r="E34" s="297"/>
      <c r="F34" s="297"/>
    </row>
    <row r="35" spans="2:6" x14ac:dyDescent="0.3">
      <c r="B35" s="299" t="str">
        <f>+B34</f>
        <v>Rositas</v>
      </c>
      <c r="C35" s="300">
        <v>2025</v>
      </c>
      <c r="D35" s="337">
        <v>600</v>
      </c>
      <c r="E35" s="300">
        <v>0.5</v>
      </c>
      <c r="F35" s="300"/>
    </row>
    <row r="36" spans="2:6" x14ac:dyDescent="0.3">
      <c r="B36" s="297" t="s">
        <v>181</v>
      </c>
      <c r="C36" s="297"/>
      <c r="D36" s="345"/>
      <c r="E36" s="297"/>
      <c r="F36" s="297"/>
    </row>
    <row r="37" spans="2:6" x14ac:dyDescent="0.3">
      <c r="B37" s="299" t="str">
        <f>+B36</f>
        <v>Icla</v>
      </c>
      <c r="C37" s="300">
        <v>2029</v>
      </c>
      <c r="D37" s="337">
        <v>102</v>
      </c>
      <c r="E37" s="300">
        <v>0.53</v>
      </c>
      <c r="F37" s="300"/>
    </row>
    <row r="38" spans="2:6" x14ac:dyDescent="0.3">
      <c r="B38" s="297" t="s">
        <v>182</v>
      </c>
      <c r="C38" s="297"/>
      <c r="D38" s="345"/>
      <c r="E38" s="297"/>
      <c r="F38" s="297"/>
    </row>
    <row r="39" spans="2:6" x14ac:dyDescent="0.3">
      <c r="B39" s="299" t="str">
        <f>+B38</f>
        <v>Margarita</v>
      </c>
      <c r="C39" s="300">
        <v>2029</v>
      </c>
      <c r="D39" s="337">
        <v>150</v>
      </c>
      <c r="E39" s="300">
        <v>0.53</v>
      </c>
      <c r="F39" s="300"/>
    </row>
    <row r="40" spans="2:6" x14ac:dyDescent="0.3">
      <c r="B40" s="297" t="s">
        <v>183</v>
      </c>
      <c r="C40" s="297"/>
      <c r="D40" s="345"/>
      <c r="E40" s="297"/>
      <c r="F40" s="297"/>
    </row>
    <row r="41" spans="2:6" x14ac:dyDescent="0.3">
      <c r="B41" s="299" t="str">
        <f>+B40</f>
        <v>Río Grande (excl. Juntas)</v>
      </c>
      <c r="C41" s="300">
        <v>2029</v>
      </c>
      <c r="D41" s="337">
        <f>3072-172</f>
        <v>2900</v>
      </c>
      <c r="E41" s="300">
        <v>0.53</v>
      </c>
      <c r="F41" s="300"/>
    </row>
    <row r="42" spans="2:6" x14ac:dyDescent="0.3">
      <c r="B42" s="297" t="s">
        <v>184</v>
      </c>
      <c r="C42" s="297"/>
      <c r="D42" s="345"/>
      <c r="E42" s="297"/>
      <c r="F42" s="297"/>
    </row>
    <row r="43" spans="2:6" x14ac:dyDescent="0.3">
      <c r="B43" s="299" t="str">
        <f>+B42</f>
        <v>Otras  nuevas plantas</v>
      </c>
      <c r="C43" s="300">
        <v>2029</v>
      </c>
      <c r="D43" s="337">
        <v>360</v>
      </c>
      <c r="E43" s="300">
        <v>0.53</v>
      </c>
      <c r="F43" s="300"/>
    </row>
    <row r="44" spans="2:6" x14ac:dyDescent="0.3">
      <c r="B44" s="297" t="s">
        <v>185</v>
      </c>
      <c r="C44" s="297"/>
      <c r="D44" s="345"/>
      <c r="E44" s="297"/>
      <c r="F44" s="297"/>
    </row>
    <row r="45" spans="2:6" x14ac:dyDescent="0.3">
      <c r="B45" s="299" t="str">
        <f>+B44</f>
        <v>Cachuela Esperanza</v>
      </c>
      <c r="C45" s="300">
        <v>2029</v>
      </c>
      <c r="D45" s="337">
        <v>990</v>
      </c>
      <c r="E45" s="302">
        <v>0.65725750657257509</v>
      </c>
      <c r="F45" s="300"/>
    </row>
    <row r="46" spans="2:6" x14ac:dyDescent="0.3">
      <c r="B46" s="297" t="s">
        <v>186</v>
      </c>
      <c r="C46" s="297"/>
      <c r="D46" s="345"/>
      <c r="E46" s="297"/>
      <c r="F46" s="297"/>
    </row>
    <row r="47" spans="2:6" x14ac:dyDescent="0.3">
      <c r="B47" s="299" t="str">
        <f>B46</f>
        <v>El Bala</v>
      </c>
      <c r="C47" s="300">
        <v>2030</v>
      </c>
      <c r="D47" s="337">
        <v>1680</v>
      </c>
      <c r="E47" s="300">
        <v>0.5</v>
      </c>
      <c r="F47" s="300"/>
    </row>
    <row r="48" spans="2:6" x14ac:dyDescent="0.3">
      <c r="B48" s="231"/>
      <c r="C48" s="303"/>
      <c r="D48" s="303"/>
      <c r="E48" s="303"/>
      <c r="F48" s="303"/>
    </row>
    <row r="49" spans="2:6" x14ac:dyDescent="0.3">
      <c r="B49" s="219"/>
      <c r="C49" s="219"/>
      <c r="D49" s="219"/>
      <c r="E49" s="219"/>
      <c r="F49" s="219"/>
    </row>
    <row r="50" spans="2:6" x14ac:dyDescent="0.3">
      <c r="B50" s="243"/>
      <c r="C50" s="211"/>
      <c r="D50" s="211"/>
      <c r="E50" s="211"/>
      <c r="F50" s="244"/>
    </row>
    <row r="51" spans="2:6" ht="28.8" x14ac:dyDescent="0.3">
      <c r="B51" s="291" t="s">
        <v>164</v>
      </c>
      <c r="C51" s="292" t="s">
        <v>139</v>
      </c>
      <c r="D51" s="274" t="s">
        <v>140</v>
      </c>
      <c r="E51" s="293" t="s">
        <v>141</v>
      </c>
      <c r="F51" s="293"/>
    </row>
    <row r="52" spans="2:6" x14ac:dyDescent="0.3">
      <c r="B52" s="305" t="s">
        <v>190</v>
      </c>
      <c r="C52" s="306"/>
      <c r="D52" s="306"/>
      <c r="E52" s="306"/>
      <c r="F52" s="306"/>
    </row>
    <row r="53" spans="2:6" x14ac:dyDescent="0.3">
      <c r="B53" s="297" t="s">
        <v>196</v>
      </c>
      <c r="C53" s="297"/>
      <c r="D53" s="297"/>
      <c r="E53" s="297"/>
      <c r="F53" s="297"/>
    </row>
    <row r="54" spans="2:6" x14ac:dyDescent="0.3">
      <c r="B54" s="299" t="s">
        <v>196</v>
      </c>
      <c r="C54" s="300">
        <v>2030</v>
      </c>
      <c r="D54" s="286">
        <v>276</v>
      </c>
      <c r="E54" s="300">
        <v>0.35</v>
      </c>
      <c r="F54" s="300"/>
    </row>
    <row r="55" spans="2:6" x14ac:dyDescent="0.3">
      <c r="B55" s="297" t="s">
        <v>197</v>
      </c>
      <c r="C55" s="297"/>
      <c r="D55" s="297"/>
      <c r="E55" s="297"/>
      <c r="F55" s="297"/>
    </row>
    <row r="56" spans="2:6" x14ac:dyDescent="0.3">
      <c r="B56" s="299" t="s">
        <v>197</v>
      </c>
      <c r="C56" s="300"/>
      <c r="D56" s="309"/>
      <c r="E56" s="300"/>
      <c r="F56" s="300"/>
    </row>
    <row r="57" spans="2:6" x14ac:dyDescent="0.3">
      <c r="B57" s="297" t="s">
        <v>198</v>
      </c>
      <c r="C57" s="297"/>
      <c r="D57" s="297"/>
      <c r="E57" s="297"/>
      <c r="F57" s="297"/>
    </row>
    <row r="58" spans="2:6" x14ac:dyDescent="0.3">
      <c r="B58" s="299" t="s">
        <v>198</v>
      </c>
      <c r="C58" s="300"/>
      <c r="D58" s="309"/>
      <c r="E58" s="300"/>
      <c r="F58" s="300"/>
    </row>
    <row r="59" spans="2:6" x14ac:dyDescent="0.3">
      <c r="B59" s="219"/>
      <c r="C59" s="219"/>
      <c r="D59" s="219"/>
      <c r="E59" s="219"/>
      <c r="F59" s="219"/>
    </row>
    <row r="60" spans="2:6" x14ac:dyDescent="0.3">
      <c r="B60" s="243"/>
      <c r="C60" s="211"/>
      <c r="D60" s="211"/>
      <c r="E60" s="211"/>
      <c r="F60" s="244"/>
    </row>
    <row r="61" spans="2:6" ht="28.8" x14ac:dyDescent="0.3">
      <c r="B61" s="291" t="s">
        <v>164</v>
      </c>
      <c r="C61" s="292" t="s">
        <v>139</v>
      </c>
      <c r="D61" s="274" t="s">
        <v>140</v>
      </c>
      <c r="E61" s="293" t="s">
        <v>141</v>
      </c>
      <c r="F61" s="293"/>
    </row>
    <row r="62" spans="2:6" x14ac:dyDescent="0.3">
      <c r="B62" s="305" t="s">
        <v>199</v>
      </c>
      <c r="C62" s="306"/>
      <c r="D62" s="306"/>
      <c r="E62" s="306"/>
      <c r="F62" s="306"/>
    </row>
    <row r="63" spans="2:6" x14ac:dyDescent="0.3">
      <c r="B63" s="297" t="s">
        <v>200</v>
      </c>
      <c r="C63" s="297"/>
      <c r="D63" s="301"/>
      <c r="E63" s="297"/>
      <c r="F63" s="297"/>
    </row>
    <row r="64" spans="2:6" x14ac:dyDescent="0.3">
      <c r="B64" s="299" t="s">
        <v>385</v>
      </c>
      <c r="C64" s="300">
        <v>2019</v>
      </c>
      <c r="D64" s="286">
        <v>50</v>
      </c>
      <c r="E64" s="300">
        <v>0.24</v>
      </c>
      <c r="F64" s="300"/>
    </row>
    <row r="65" spans="2:6" x14ac:dyDescent="0.3">
      <c r="B65" s="297" t="s">
        <v>204</v>
      </c>
      <c r="C65" s="297"/>
      <c r="D65" s="297"/>
      <c r="E65" s="297"/>
      <c r="F65" s="297"/>
    </row>
    <row r="66" spans="2:6" x14ac:dyDescent="0.3">
      <c r="B66" s="299" t="str">
        <f>B65</f>
        <v>Riberalta - Guayamerin</v>
      </c>
      <c r="C66" s="285">
        <v>2020</v>
      </c>
      <c r="D66" s="286">
        <v>5</v>
      </c>
      <c r="E66" s="300">
        <v>0.24</v>
      </c>
      <c r="F66" s="300"/>
    </row>
    <row r="67" spans="2:6" x14ac:dyDescent="0.3">
      <c r="B67" s="297" t="s">
        <v>205</v>
      </c>
      <c r="C67" s="297"/>
      <c r="D67" s="297"/>
      <c r="E67" s="297"/>
      <c r="F67" s="297"/>
    </row>
    <row r="68" spans="2:6" x14ac:dyDescent="0.3">
      <c r="B68" s="299" t="str">
        <f>+B67</f>
        <v>Solar A</v>
      </c>
      <c r="C68" s="300">
        <v>2030</v>
      </c>
      <c r="D68" s="286">
        <v>200</v>
      </c>
      <c r="E68" s="300">
        <v>0.24</v>
      </c>
      <c r="F68" s="300"/>
    </row>
    <row r="69" spans="2:6" x14ac:dyDescent="0.3">
      <c r="B69" s="297" t="s">
        <v>206</v>
      </c>
      <c r="C69" s="297"/>
      <c r="D69" s="297"/>
      <c r="E69" s="297"/>
      <c r="F69" s="297"/>
    </row>
    <row r="70" spans="2:6" x14ac:dyDescent="0.3">
      <c r="B70" s="299" t="str">
        <f>B69</f>
        <v>Solar B</v>
      </c>
      <c r="C70" s="300"/>
      <c r="D70" s="309"/>
      <c r="E70" s="300"/>
      <c r="F70" s="300"/>
    </row>
    <row r="71" spans="2:6" x14ac:dyDescent="0.3">
      <c r="B71" s="219"/>
      <c r="C71" s="219"/>
      <c r="D71" s="219"/>
      <c r="E71" s="219"/>
      <c r="F71" s="219"/>
    </row>
    <row r="72" spans="2:6" x14ac:dyDescent="0.3">
      <c r="B72" s="243"/>
      <c r="C72" s="211"/>
      <c r="D72" s="211"/>
      <c r="E72" s="211"/>
      <c r="F72" s="244"/>
    </row>
    <row r="73" spans="2:6" ht="28.8" x14ac:dyDescent="0.3">
      <c r="B73" s="291" t="s">
        <v>164</v>
      </c>
      <c r="C73" s="292" t="s">
        <v>139</v>
      </c>
      <c r="D73" s="274" t="s">
        <v>140</v>
      </c>
      <c r="E73" s="293" t="s">
        <v>141</v>
      </c>
      <c r="F73" s="293"/>
    </row>
    <row r="74" spans="2:6" x14ac:dyDescent="0.3">
      <c r="B74" s="305" t="s">
        <v>207</v>
      </c>
      <c r="C74" s="306"/>
      <c r="D74" s="306"/>
      <c r="E74" s="306"/>
      <c r="F74" s="306"/>
    </row>
    <row r="75" spans="2:6" x14ac:dyDescent="0.3">
      <c r="B75" s="297" t="s">
        <v>209</v>
      </c>
      <c r="C75" s="297"/>
      <c r="D75" s="297"/>
      <c r="E75" s="297"/>
      <c r="F75" s="297"/>
    </row>
    <row r="76" spans="2:6" x14ac:dyDescent="0.3">
      <c r="B76" s="299" t="str">
        <f>+B75</f>
        <v xml:space="preserve">Laguna Colorada </v>
      </c>
      <c r="C76" s="285">
        <v>2023</v>
      </c>
      <c r="D76" s="286">
        <v>100</v>
      </c>
      <c r="E76" s="300">
        <v>0.85</v>
      </c>
      <c r="F76" s="300"/>
    </row>
    <row r="77" spans="2:6" x14ac:dyDescent="0.3">
      <c r="B77" s="231"/>
      <c r="C77" s="310"/>
      <c r="D77" s="311"/>
      <c r="E77" s="303"/>
      <c r="F77" s="303"/>
    </row>
    <row r="78" spans="2:6" x14ac:dyDescent="0.3">
      <c r="B78" s="243"/>
      <c r="C78" s="211"/>
      <c r="D78" s="211"/>
      <c r="E78" s="211"/>
      <c r="F78" s="244"/>
    </row>
    <row r="79" spans="2:6" ht="28.8" x14ac:dyDescent="0.3">
      <c r="B79" s="291" t="s">
        <v>164</v>
      </c>
      <c r="C79" s="292" t="s">
        <v>139</v>
      </c>
      <c r="D79" s="274" t="s">
        <v>140</v>
      </c>
      <c r="E79" s="293" t="s">
        <v>141</v>
      </c>
      <c r="F79" s="293"/>
    </row>
    <row r="80" spans="2:6" x14ac:dyDescent="0.3">
      <c r="B80" s="305" t="s">
        <v>210</v>
      </c>
      <c r="C80" s="306"/>
      <c r="D80" s="306"/>
      <c r="E80" s="306"/>
      <c r="F80" s="306"/>
    </row>
    <row r="81" spans="2:6" x14ac:dyDescent="0.3">
      <c r="B81" s="297" t="s">
        <v>212</v>
      </c>
      <c r="C81" s="297"/>
      <c r="D81" s="297"/>
      <c r="E81" s="297"/>
      <c r="F81" s="297"/>
    </row>
    <row r="82" spans="2:6" x14ac:dyDescent="0.3">
      <c r="B82" s="299" t="str">
        <f>+B81</f>
        <v>Cobija</v>
      </c>
      <c r="C82" s="285">
        <v>2020</v>
      </c>
      <c r="D82" s="286">
        <v>20</v>
      </c>
      <c r="E82" s="300">
        <v>0.85</v>
      </c>
      <c r="F82" s="300"/>
    </row>
    <row r="83" spans="2:6" x14ac:dyDescent="0.3">
      <c r="B83" s="297" t="s">
        <v>213</v>
      </c>
      <c r="C83" s="297"/>
      <c r="D83" s="297"/>
      <c r="E83" s="297"/>
      <c r="F83" s="297"/>
    </row>
    <row r="84" spans="2:6" x14ac:dyDescent="0.3">
      <c r="B84" s="299" t="str">
        <f>+B83</f>
        <v>Riberalta</v>
      </c>
      <c r="C84" s="285">
        <v>2020</v>
      </c>
      <c r="D84" s="286">
        <v>20</v>
      </c>
      <c r="E84" s="300">
        <v>0.85</v>
      </c>
      <c r="F84" s="300"/>
    </row>
    <row r="85" spans="2:6" x14ac:dyDescent="0.3">
      <c r="B85" s="231"/>
      <c r="C85" s="310"/>
      <c r="D85" s="311"/>
      <c r="E85" s="303"/>
      <c r="F85" s="303"/>
    </row>
    <row r="86" spans="2:6" x14ac:dyDescent="0.3">
      <c r="B86" s="219"/>
      <c r="C86" s="219"/>
      <c r="D86" s="219"/>
      <c r="E86" s="219"/>
      <c r="F86" s="2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7"/>
  <sheetViews>
    <sheetView showGridLines="0" topLeftCell="A20" workbookViewId="0">
      <selection activeCell="C27" sqref="C5:G27"/>
    </sheetView>
  </sheetViews>
  <sheetFormatPr baseColWidth="10" defaultRowHeight="14.4" x14ac:dyDescent="0.3"/>
  <cols>
    <col min="1" max="1" width="11.5546875" style="69"/>
    <col min="2" max="2" width="3" style="69" bestFit="1" customWidth="1"/>
    <col min="3" max="3" width="18.88671875" style="69" bestFit="1" customWidth="1"/>
    <col min="4" max="4" width="11.5546875" style="69"/>
    <col min="5" max="6" width="11.5546875" style="70"/>
    <col min="7" max="16384" width="11.5546875" style="69"/>
  </cols>
  <sheetData>
    <row r="2" spans="3:7" ht="15" thickBot="1" x14ac:dyDescent="0.35"/>
    <row r="3" spans="3:7" ht="15" thickBot="1" x14ac:dyDescent="0.35">
      <c r="C3" s="175" t="s">
        <v>337</v>
      </c>
      <c r="D3" s="176"/>
      <c r="E3" s="176"/>
      <c r="F3" s="176"/>
      <c r="G3" s="177"/>
    </row>
    <row r="4" spans="3:7" ht="47.4" customHeight="1" thickBot="1" x14ac:dyDescent="0.35">
      <c r="C4" s="71" t="s">
        <v>338</v>
      </c>
      <c r="D4" s="72" t="s">
        <v>339</v>
      </c>
      <c r="E4" s="72" t="s">
        <v>340</v>
      </c>
      <c r="F4" s="72" t="s">
        <v>341</v>
      </c>
      <c r="G4" s="73" t="s">
        <v>342</v>
      </c>
    </row>
    <row r="5" spans="3:7" x14ac:dyDescent="0.3">
      <c r="C5" s="365" t="s">
        <v>172</v>
      </c>
      <c r="D5" s="366">
        <v>44409</v>
      </c>
      <c r="E5" s="367">
        <v>118.2</v>
      </c>
      <c r="F5" s="368" t="s">
        <v>343</v>
      </c>
      <c r="G5" s="369" t="s">
        <v>344</v>
      </c>
    </row>
    <row r="6" spans="3:7" x14ac:dyDescent="0.3">
      <c r="C6" s="74" t="s">
        <v>345</v>
      </c>
      <c r="D6" s="75">
        <v>44378</v>
      </c>
      <c r="E6" s="76">
        <v>85.8</v>
      </c>
      <c r="F6" s="77" t="s">
        <v>343</v>
      </c>
      <c r="G6" s="78" t="s">
        <v>344</v>
      </c>
    </row>
    <row r="7" spans="3:7" x14ac:dyDescent="0.3">
      <c r="C7" s="74" t="s">
        <v>169</v>
      </c>
      <c r="D7" s="75">
        <v>44348</v>
      </c>
      <c r="E7" s="76">
        <v>198.6</v>
      </c>
      <c r="F7" s="77" t="s">
        <v>343</v>
      </c>
      <c r="G7" s="78" t="s">
        <v>344</v>
      </c>
    </row>
    <row r="8" spans="3:7" x14ac:dyDescent="0.3">
      <c r="C8" s="74" t="s">
        <v>170</v>
      </c>
      <c r="D8" s="75">
        <v>44348</v>
      </c>
      <c r="E8" s="76">
        <v>91.56</v>
      </c>
      <c r="F8" s="77" t="s">
        <v>343</v>
      </c>
      <c r="G8" s="78" t="s">
        <v>344</v>
      </c>
    </row>
    <row r="9" spans="3:7" x14ac:dyDescent="0.3">
      <c r="C9" s="74" t="s">
        <v>195</v>
      </c>
      <c r="D9" s="75">
        <v>44317</v>
      </c>
      <c r="E9" s="76">
        <v>24</v>
      </c>
      <c r="F9" s="77" t="s">
        <v>346</v>
      </c>
      <c r="G9" s="78" t="s">
        <v>344</v>
      </c>
    </row>
    <row r="10" spans="3:7" x14ac:dyDescent="0.3">
      <c r="C10" s="74" t="s">
        <v>192</v>
      </c>
      <c r="D10" s="75">
        <v>44317</v>
      </c>
      <c r="E10" s="76">
        <v>21</v>
      </c>
      <c r="F10" s="77" t="s">
        <v>346</v>
      </c>
      <c r="G10" s="78" t="s">
        <v>344</v>
      </c>
    </row>
    <row r="11" spans="3:7" x14ac:dyDescent="0.3">
      <c r="C11" s="79" t="s">
        <v>347</v>
      </c>
      <c r="D11" s="75">
        <v>44166</v>
      </c>
      <c r="E11" s="76">
        <v>5</v>
      </c>
      <c r="F11" s="77" t="s">
        <v>348</v>
      </c>
      <c r="G11" s="78" t="s">
        <v>344</v>
      </c>
    </row>
    <row r="12" spans="3:7" x14ac:dyDescent="0.3">
      <c r="C12" s="74" t="s">
        <v>349</v>
      </c>
      <c r="D12" s="75">
        <v>43862</v>
      </c>
      <c r="E12" s="76">
        <v>36.72</v>
      </c>
      <c r="F12" s="77" t="s">
        <v>350</v>
      </c>
      <c r="G12" s="78" t="s">
        <v>344</v>
      </c>
    </row>
    <row r="13" spans="3:7" x14ac:dyDescent="0.3">
      <c r="C13" s="74" t="s">
        <v>351</v>
      </c>
      <c r="D13" s="75">
        <v>43862</v>
      </c>
      <c r="E13" s="76">
        <v>40.340000000000003</v>
      </c>
      <c r="F13" s="77" t="s">
        <v>350</v>
      </c>
      <c r="G13" s="78" t="s">
        <v>344</v>
      </c>
    </row>
    <row r="14" spans="3:7" x14ac:dyDescent="0.3">
      <c r="C14" s="74" t="s">
        <v>352</v>
      </c>
      <c r="D14" s="75">
        <v>43800</v>
      </c>
      <c r="E14" s="76">
        <v>136.4</v>
      </c>
      <c r="F14" s="77" t="s">
        <v>350</v>
      </c>
      <c r="G14" s="78" t="s">
        <v>344</v>
      </c>
    </row>
    <row r="15" spans="3:7" x14ac:dyDescent="0.3">
      <c r="C15" s="74" t="s">
        <v>353</v>
      </c>
      <c r="D15" s="75">
        <v>43800</v>
      </c>
      <c r="E15" s="76">
        <v>36.72</v>
      </c>
      <c r="F15" s="77" t="s">
        <v>350</v>
      </c>
      <c r="G15" s="78" t="s">
        <v>344</v>
      </c>
    </row>
    <row r="16" spans="3:7" x14ac:dyDescent="0.3">
      <c r="C16" s="74" t="s">
        <v>354</v>
      </c>
      <c r="D16" s="75">
        <v>43800</v>
      </c>
      <c r="E16" s="76">
        <v>40.340000000000003</v>
      </c>
      <c r="F16" s="77" t="s">
        <v>350</v>
      </c>
      <c r="G16" s="78" t="s">
        <v>344</v>
      </c>
    </row>
    <row r="17" spans="3:7" x14ac:dyDescent="0.3">
      <c r="C17" s="74" t="s">
        <v>355</v>
      </c>
      <c r="D17" s="75">
        <v>43739</v>
      </c>
      <c r="E17" s="76">
        <v>136.4</v>
      </c>
      <c r="F17" s="77" t="s">
        <v>350</v>
      </c>
      <c r="G17" s="78" t="s">
        <v>344</v>
      </c>
    </row>
    <row r="18" spans="3:7" x14ac:dyDescent="0.3">
      <c r="C18" s="74" t="s">
        <v>356</v>
      </c>
      <c r="D18" s="75">
        <v>43678</v>
      </c>
      <c r="E18" s="76">
        <v>136.4</v>
      </c>
      <c r="F18" s="77" t="s">
        <v>350</v>
      </c>
      <c r="G18" s="78" t="s">
        <v>344</v>
      </c>
    </row>
    <row r="19" spans="3:7" x14ac:dyDescent="0.3">
      <c r="C19" s="74" t="s">
        <v>357</v>
      </c>
      <c r="D19" s="75">
        <v>43678</v>
      </c>
      <c r="E19" s="76">
        <v>135.15</v>
      </c>
      <c r="F19" s="77" t="s">
        <v>350</v>
      </c>
      <c r="G19" s="78" t="s">
        <v>344</v>
      </c>
    </row>
    <row r="20" spans="3:7" x14ac:dyDescent="0.3">
      <c r="C20" s="74" t="s">
        <v>358</v>
      </c>
      <c r="D20" s="75">
        <v>43647</v>
      </c>
      <c r="E20" s="76">
        <v>135.15</v>
      </c>
      <c r="F20" s="77" t="s">
        <v>350</v>
      </c>
      <c r="G20" s="78" t="s">
        <v>344</v>
      </c>
    </row>
    <row r="21" spans="3:7" x14ac:dyDescent="0.3">
      <c r="C21" s="79" t="s">
        <v>359</v>
      </c>
      <c r="D21" s="75">
        <v>43586</v>
      </c>
      <c r="E21" s="76">
        <v>4.57</v>
      </c>
      <c r="F21" s="77" t="s">
        <v>210</v>
      </c>
      <c r="G21" s="78" t="s">
        <v>344</v>
      </c>
    </row>
    <row r="22" spans="3:7" x14ac:dyDescent="0.3">
      <c r="C22" s="74" t="s">
        <v>360</v>
      </c>
      <c r="D22" s="75">
        <v>43556</v>
      </c>
      <c r="E22" s="76">
        <v>132.69</v>
      </c>
      <c r="F22" s="77" t="s">
        <v>350</v>
      </c>
      <c r="G22" s="78" t="s">
        <v>344</v>
      </c>
    </row>
    <row r="23" spans="3:7" x14ac:dyDescent="0.3">
      <c r="C23" s="74" t="s">
        <v>361</v>
      </c>
      <c r="D23" s="75">
        <v>43497</v>
      </c>
      <c r="E23" s="76">
        <v>132.69</v>
      </c>
      <c r="F23" s="77" t="s">
        <v>350</v>
      </c>
      <c r="G23" s="78" t="s">
        <v>344</v>
      </c>
    </row>
    <row r="24" spans="3:7" x14ac:dyDescent="0.3">
      <c r="C24" s="74" t="s">
        <v>362</v>
      </c>
      <c r="D24" s="75">
        <v>43497</v>
      </c>
      <c r="E24" s="76">
        <v>69</v>
      </c>
      <c r="F24" s="77" t="s">
        <v>343</v>
      </c>
      <c r="G24" s="78" t="s">
        <v>344</v>
      </c>
    </row>
    <row r="25" spans="3:7" x14ac:dyDescent="0.3">
      <c r="C25" s="74" t="s">
        <v>194</v>
      </c>
      <c r="D25" s="75">
        <v>43952</v>
      </c>
      <c r="E25" s="76">
        <v>14.4</v>
      </c>
      <c r="F25" s="77" t="s">
        <v>346</v>
      </c>
      <c r="G25" s="78" t="s">
        <v>344</v>
      </c>
    </row>
    <row r="26" spans="3:7" x14ac:dyDescent="0.3">
      <c r="C26" s="74" t="s">
        <v>363</v>
      </c>
      <c r="D26" s="75">
        <v>44013</v>
      </c>
      <c r="E26" s="76">
        <v>39.6</v>
      </c>
      <c r="F26" s="77" t="s">
        <v>346</v>
      </c>
      <c r="G26" s="78" t="s">
        <v>344</v>
      </c>
    </row>
    <row r="27" spans="3:7" ht="15" thickBot="1" x14ac:dyDescent="0.35">
      <c r="C27" s="80" t="s">
        <v>191</v>
      </c>
      <c r="D27" s="81">
        <v>44044</v>
      </c>
      <c r="E27" s="82">
        <v>54</v>
      </c>
      <c r="F27" s="83" t="s">
        <v>346</v>
      </c>
      <c r="G27" s="370" t="s">
        <v>344</v>
      </c>
    </row>
    <row r="28" spans="3:7" x14ac:dyDescent="0.3">
      <c r="C28" s="85" t="s">
        <v>364</v>
      </c>
      <c r="D28" s="86">
        <v>43009</v>
      </c>
      <c r="E28" s="87">
        <v>5</v>
      </c>
      <c r="F28" s="88" t="s">
        <v>365</v>
      </c>
      <c r="G28" s="84" t="s">
        <v>344</v>
      </c>
    </row>
    <row r="29" spans="3:7" x14ac:dyDescent="0.3">
      <c r="C29" s="85" t="s">
        <v>59</v>
      </c>
      <c r="D29" s="86">
        <v>42917</v>
      </c>
      <c r="E29" s="87">
        <v>5</v>
      </c>
      <c r="F29" s="88" t="s">
        <v>58</v>
      </c>
      <c r="G29" s="84" t="s">
        <v>344</v>
      </c>
    </row>
    <row r="30" spans="3:7" x14ac:dyDescent="0.3">
      <c r="C30" s="85" t="s">
        <v>307</v>
      </c>
      <c r="D30" s="86">
        <v>42979</v>
      </c>
      <c r="E30" s="87">
        <v>120</v>
      </c>
      <c r="F30" s="88" t="s">
        <v>366</v>
      </c>
      <c r="G30" s="84" t="s">
        <v>344</v>
      </c>
    </row>
    <row r="31" spans="3:7" x14ac:dyDescent="0.3">
      <c r="C31" s="89" t="s">
        <v>61</v>
      </c>
      <c r="D31" s="86">
        <v>42614</v>
      </c>
      <c r="E31" s="87">
        <v>12</v>
      </c>
      <c r="F31" s="88" t="s">
        <v>58</v>
      </c>
      <c r="G31" s="84" t="s">
        <v>344</v>
      </c>
    </row>
    <row r="32" spans="3:7" x14ac:dyDescent="0.3">
      <c r="C32" s="85" t="s">
        <v>367</v>
      </c>
      <c r="D32" s="86">
        <v>42583</v>
      </c>
      <c r="E32" s="87">
        <v>24</v>
      </c>
      <c r="F32" s="88" t="s">
        <v>346</v>
      </c>
      <c r="G32" s="84" t="s">
        <v>344</v>
      </c>
    </row>
    <row r="33" spans="3:7" x14ac:dyDescent="0.3">
      <c r="C33" s="85" t="s">
        <v>96</v>
      </c>
      <c r="D33" s="86">
        <v>42248</v>
      </c>
      <c r="E33" s="87">
        <v>40</v>
      </c>
      <c r="F33" s="88" t="s">
        <v>368</v>
      </c>
      <c r="G33" s="84" t="s">
        <v>344</v>
      </c>
    </row>
    <row r="34" spans="3:7" x14ac:dyDescent="0.3">
      <c r="C34" s="85" t="s">
        <v>97</v>
      </c>
      <c r="D34" s="86">
        <v>42248</v>
      </c>
      <c r="E34" s="87">
        <v>40</v>
      </c>
      <c r="F34" s="88" t="s">
        <v>368</v>
      </c>
      <c r="G34" s="84" t="s">
        <v>344</v>
      </c>
    </row>
    <row r="35" spans="3:7" x14ac:dyDescent="0.3">
      <c r="C35" s="85" t="s">
        <v>98</v>
      </c>
      <c r="D35" s="86">
        <v>42248</v>
      </c>
      <c r="E35" s="87">
        <v>40</v>
      </c>
      <c r="F35" s="88" t="s">
        <v>368</v>
      </c>
      <c r="G35" s="84" t="s">
        <v>344</v>
      </c>
    </row>
    <row r="36" spans="3:7" x14ac:dyDescent="0.3">
      <c r="C36" s="85" t="s">
        <v>99</v>
      </c>
      <c r="D36" s="86">
        <v>42248</v>
      </c>
      <c r="E36" s="87">
        <v>40</v>
      </c>
      <c r="F36" s="88" t="s">
        <v>368</v>
      </c>
      <c r="G36" s="84" t="s">
        <v>344</v>
      </c>
    </row>
    <row r="37" spans="3:7" x14ac:dyDescent="0.3">
      <c r="C37" s="85" t="s">
        <v>100</v>
      </c>
      <c r="D37" s="86">
        <v>42248</v>
      </c>
      <c r="E37" s="87">
        <v>40</v>
      </c>
      <c r="F37" s="88" t="s">
        <v>368</v>
      </c>
      <c r="G37" s="84" t="s">
        <v>344</v>
      </c>
    </row>
    <row r="38" spans="3:7" x14ac:dyDescent="0.3">
      <c r="C38" s="85" t="s">
        <v>316</v>
      </c>
      <c r="D38" s="86">
        <v>42217</v>
      </c>
      <c r="E38" s="87">
        <v>7</v>
      </c>
      <c r="F38" s="88" t="s">
        <v>366</v>
      </c>
      <c r="G38" s="84" t="s">
        <v>344</v>
      </c>
    </row>
    <row r="39" spans="3:7" x14ac:dyDescent="0.3">
      <c r="C39" s="89" t="s">
        <v>60</v>
      </c>
      <c r="D39" s="86">
        <v>42156</v>
      </c>
      <c r="E39" s="87">
        <v>6</v>
      </c>
      <c r="F39" s="88" t="s">
        <v>58</v>
      </c>
      <c r="G39" s="84" t="s">
        <v>344</v>
      </c>
    </row>
    <row r="40" spans="3:7" x14ac:dyDescent="0.3">
      <c r="C40" s="85" t="s">
        <v>92</v>
      </c>
      <c r="D40" s="86">
        <v>41883</v>
      </c>
      <c r="E40" s="87">
        <v>40</v>
      </c>
      <c r="F40" s="88" t="s">
        <v>368</v>
      </c>
      <c r="G40" s="84" t="s">
        <v>344</v>
      </c>
    </row>
    <row r="41" spans="3:7" x14ac:dyDescent="0.3">
      <c r="C41" s="85" t="s">
        <v>93</v>
      </c>
      <c r="D41" s="86">
        <v>41883</v>
      </c>
      <c r="E41" s="87">
        <v>40</v>
      </c>
      <c r="F41" s="88" t="s">
        <v>368</v>
      </c>
      <c r="G41" s="84" t="s">
        <v>344</v>
      </c>
    </row>
    <row r="42" spans="3:7" x14ac:dyDescent="0.3">
      <c r="C42" s="85" t="s">
        <v>94</v>
      </c>
      <c r="D42" s="86">
        <v>41883</v>
      </c>
      <c r="E42" s="87">
        <v>40</v>
      </c>
      <c r="F42" s="88" t="s">
        <v>368</v>
      </c>
      <c r="G42" s="84" t="s">
        <v>344</v>
      </c>
    </row>
    <row r="43" spans="3:7" x14ac:dyDescent="0.3">
      <c r="C43" s="85" t="s">
        <v>95</v>
      </c>
      <c r="D43" s="86">
        <v>41883</v>
      </c>
      <c r="E43" s="87">
        <v>40</v>
      </c>
      <c r="F43" s="88" t="s">
        <v>368</v>
      </c>
      <c r="G43" s="84" t="s">
        <v>344</v>
      </c>
    </row>
    <row r="44" spans="3:7" x14ac:dyDescent="0.3">
      <c r="C44" s="85" t="s">
        <v>369</v>
      </c>
      <c r="D44" s="86">
        <v>41640</v>
      </c>
      <c r="E44" s="87">
        <v>3</v>
      </c>
      <c r="F44" s="88" t="s">
        <v>346</v>
      </c>
      <c r="G44" s="84" t="s">
        <v>344</v>
      </c>
    </row>
    <row r="45" spans="3:7" x14ac:dyDescent="0.3">
      <c r="C45" s="85" t="s">
        <v>64</v>
      </c>
      <c r="D45" s="86">
        <v>41609</v>
      </c>
      <c r="E45" s="87">
        <v>50</v>
      </c>
      <c r="F45" s="88" t="s">
        <v>368</v>
      </c>
      <c r="G45" s="84" t="s">
        <v>344</v>
      </c>
    </row>
    <row r="46" spans="3:7" x14ac:dyDescent="0.3">
      <c r="C46" s="85" t="s">
        <v>218</v>
      </c>
      <c r="D46" s="86">
        <v>41334</v>
      </c>
      <c r="E46" s="87">
        <v>32.35</v>
      </c>
      <c r="F46" s="88" t="s">
        <v>368</v>
      </c>
      <c r="G46" s="84" t="s">
        <v>344</v>
      </c>
    </row>
    <row r="47" spans="3:7" ht="15" thickBot="1" x14ac:dyDescent="0.35">
      <c r="C47" s="85" t="s">
        <v>370</v>
      </c>
      <c r="D47" s="86">
        <v>41183</v>
      </c>
      <c r="E47" s="87">
        <v>17.5</v>
      </c>
      <c r="F47" s="88" t="s">
        <v>368</v>
      </c>
      <c r="G47" s="84" t="s">
        <v>344</v>
      </c>
    </row>
    <row r="48" spans="3:7" ht="15" thickBot="1" x14ac:dyDescent="0.35">
      <c r="C48" s="90" t="s">
        <v>371</v>
      </c>
      <c r="D48" s="91">
        <v>41122</v>
      </c>
      <c r="E48" s="92">
        <v>82</v>
      </c>
      <c r="F48" s="93" t="s">
        <v>368</v>
      </c>
      <c r="G48" s="94" t="s">
        <v>372</v>
      </c>
    </row>
    <row r="49" spans="3:7" x14ac:dyDescent="0.3">
      <c r="C49" s="85" t="s">
        <v>373</v>
      </c>
      <c r="D49" s="86">
        <v>41122</v>
      </c>
      <c r="E49" s="87">
        <v>42</v>
      </c>
      <c r="F49" s="88" t="s">
        <v>368</v>
      </c>
      <c r="G49" s="84" t="s">
        <v>344</v>
      </c>
    </row>
    <row r="50" spans="3:7" x14ac:dyDescent="0.3">
      <c r="C50" s="85" t="s">
        <v>374</v>
      </c>
      <c r="D50" s="86">
        <v>40909</v>
      </c>
      <c r="E50" s="87">
        <v>25</v>
      </c>
      <c r="F50" s="88" t="s">
        <v>368</v>
      </c>
      <c r="G50" s="84" t="s">
        <v>344</v>
      </c>
    </row>
    <row r="51" spans="3:7" x14ac:dyDescent="0.3">
      <c r="C51" s="85" t="s">
        <v>375</v>
      </c>
      <c r="D51" s="86">
        <v>40817</v>
      </c>
      <c r="E51" s="87">
        <v>28</v>
      </c>
      <c r="F51" s="88" t="s">
        <v>368</v>
      </c>
      <c r="G51" s="84" t="s">
        <v>344</v>
      </c>
    </row>
    <row r="52" spans="3:7" x14ac:dyDescent="0.3">
      <c r="C52" s="85" t="s">
        <v>87</v>
      </c>
      <c r="D52" s="86">
        <v>40299</v>
      </c>
      <c r="E52" s="87">
        <v>26.782499999999999</v>
      </c>
      <c r="F52" s="88" t="s">
        <v>368</v>
      </c>
      <c r="G52" s="84" t="s">
        <v>344</v>
      </c>
    </row>
    <row r="53" spans="3:7" x14ac:dyDescent="0.3">
      <c r="C53" s="85" t="s">
        <v>88</v>
      </c>
      <c r="D53" s="86">
        <v>40299</v>
      </c>
      <c r="E53" s="87">
        <v>26.782499999999999</v>
      </c>
      <c r="F53" s="88" t="s">
        <v>368</v>
      </c>
      <c r="G53" s="84" t="s">
        <v>344</v>
      </c>
    </row>
    <row r="54" spans="3:7" x14ac:dyDescent="0.3">
      <c r="C54" s="85" t="s">
        <v>89</v>
      </c>
      <c r="D54" s="86">
        <v>40299</v>
      </c>
      <c r="E54" s="87">
        <v>26.782499999999999</v>
      </c>
      <c r="F54" s="88" t="s">
        <v>368</v>
      </c>
      <c r="G54" s="84" t="s">
        <v>344</v>
      </c>
    </row>
    <row r="55" spans="3:7" x14ac:dyDescent="0.3">
      <c r="C55" s="85" t="s">
        <v>90</v>
      </c>
      <c r="D55" s="86">
        <v>40299</v>
      </c>
      <c r="E55" s="87">
        <v>26.782499999999999</v>
      </c>
      <c r="F55" s="88" t="s">
        <v>368</v>
      </c>
      <c r="G55" s="84" t="s">
        <v>344</v>
      </c>
    </row>
    <row r="56" spans="3:7" x14ac:dyDescent="0.3">
      <c r="C56" s="85" t="s">
        <v>376</v>
      </c>
      <c r="D56" s="86">
        <v>39661</v>
      </c>
      <c r="E56" s="87">
        <v>4.8</v>
      </c>
      <c r="F56" s="88" t="s">
        <v>368</v>
      </c>
      <c r="G56" s="84" t="s">
        <v>344</v>
      </c>
    </row>
    <row r="57" spans="3:7" x14ac:dyDescent="0.3">
      <c r="C57" s="85" t="s">
        <v>377</v>
      </c>
      <c r="D57" s="86">
        <v>39362</v>
      </c>
      <c r="E57" s="87">
        <v>1.8</v>
      </c>
      <c r="F57" s="88" t="s">
        <v>366</v>
      </c>
      <c r="G57" s="84" t="s">
        <v>344</v>
      </c>
    </row>
    <row r="58" spans="3:7" x14ac:dyDescent="0.3">
      <c r="C58" s="85" t="s">
        <v>378</v>
      </c>
      <c r="D58" s="86">
        <v>39356</v>
      </c>
      <c r="E58" s="87">
        <v>16.600000000000001</v>
      </c>
      <c r="F58" s="88" t="s">
        <v>58</v>
      </c>
      <c r="G58" s="84" t="s">
        <v>344</v>
      </c>
    </row>
    <row r="59" spans="3:7" x14ac:dyDescent="0.3">
      <c r="C59" s="85" t="s">
        <v>379</v>
      </c>
      <c r="D59" s="86">
        <v>39209</v>
      </c>
      <c r="E59" s="87">
        <v>60</v>
      </c>
      <c r="F59" s="88" t="s">
        <v>368</v>
      </c>
      <c r="G59" s="84" t="s">
        <v>344</v>
      </c>
    </row>
    <row r="60" spans="3:7" x14ac:dyDescent="0.3">
      <c r="C60" s="85" t="s">
        <v>380</v>
      </c>
      <c r="D60" s="86">
        <v>38930</v>
      </c>
      <c r="E60" s="87">
        <v>6.4</v>
      </c>
      <c r="F60" s="88" t="s">
        <v>368</v>
      </c>
      <c r="G60" s="84" t="s">
        <v>344</v>
      </c>
    </row>
    <row r="61" spans="3:7" ht="15" thickBot="1" x14ac:dyDescent="0.35">
      <c r="C61" s="85" t="s">
        <v>381</v>
      </c>
      <c r="D61" s="86">
        <v>38142</v>
      </c>
      <c r="E61" s="87">
        <v>21.3</v>
      </c>
      <c r="F61" s="88" t="s">
        <v>366</v>
      </c>
      <c r="G61" s="84" t="s">
        <v>344</v>
      </c>
    </row>
    <row r="62" spans="3:7" x14ac:dyDescent="0.3">
      <c r="C62" s="95" t="s">
        <v>271</v>
      </c>
      <c r="D62" s="96">
        <v>37408</v>
      </c>
      <c r="E62" s="97">
        <v>38.4</v>
      </c>
      <c r="F62" s="98" t="s">
        <v>366</v>
      </c>
      <c r="G62" s="99" t="s">
        <v>372</v>
      </c>
    </row>
    <row r="63" spans="3:7" ht="15" thickBot="1" x14ac:dyDescent="0.35">
      <c r="C63" s="100" t="s">
        <v>327</v>
      </c>
      <c r="D63" s="101">
        <v>37408</v>
      </c>
      <c r="E63" s="102">
        <v>80</v>
      </c>
      <c r="F63" s="103" t="s">
        <v>366</v>
      </c>
      <c r="G63" s="104" t="s">
        <v>372</v>
      </c>
    </row>
    <row r="64" spans="3:7" x14ac:dyDescent="0.3">
      <c r="C64" s="85" t="s">
        <v>382</v>
      </c>
      <c r="D64" s="86">
        <v>37065</v>
      </c>
      <c r="E64" s="87">
        <v>5</v>
      </c>
      <c r="F64" s="88" t="s">
        <v>366</v>
      </c>
      <c r="G64" s="84" t="s">
        <v>344</v>
      </c>
    </row>
    <row r="65" spans="3:7" x14ac:dyDescent="0.3">
      <c r="C65" s="85" t="s">
        <v>383</v>
      </c>
      <c r="D65" s="86">
        <v>37012</v>
      </c>
      <c r="E65" s="87">
        <v>5</v>
      </c>
      <c r="F65" s="88" t="s">
        <v>366</v>
      </c>
      <c r="G65" s="84" t="s">
        <v>344</v>
      </c>
    </row>
    <row r="66" spans="3:7" x14ac:dyDescent="0.3">
      <c r="C66" s="85" t="s">
        <v>384</v>
      </c>
      <c r="D66" s="86">
        <v>36647</v>
      </c>
      <c r="E66" s="87">
        <v>85.88</v>
      </c>
      <c r="F66" s="88" t="s">
        <v>368</v>
      </c>
      <c r="G66" s="84" t="s">
        <v>344</v>
      </c>
    </row>
    <row r="67" spans="3:7" ht="15" thickBot="1" x14ac:dyDescent="0.35">
      <c r="C67" s="105" t="s">
        <v>294</v>
      </c>
      <c r="D67" s="106">
        <v>36312</v>
      </c>
      <c r="E67" s="107">
        <v>29</v>
      </c>
      <c r="F67" s="108" t="s">
        <v>366</v>
      </c>
      <c r="G67" s="109" t="s">
        <v>344</v>
      </c>
    </row>
  </sheetData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showGridLines="0" topLeftCell="A10" zoomScaleNormal="100" zoomScaleSheetLayoutView="100" workbookViewId="0">
      <pane xSplit="1" ySplit="5" topLeftCell="B15" activePane="bottomRight" state="frozen"/>
      <selection activeCell="A10" sqref="A10"/>
      <selection pane="topRight" activeCell="B10" sqref="B10"/>
      <selection pane="bottomLeft" activeCell="A15" sqref="A15"/>
      <selection pane="bottomRight" activeCell="A22" sqref="A22"/>
    </sheetView>
  </sheetViews>
  <sheetFormatPr baseColWidth="10" defaultColWidth="11.44140625" defaultRowHeight="13.2" x14ac:dyDescent="0.25"/>
  <cols>
    <col min="1" max="1" width="11.109375" style="6" customWidth="1"/>
    <col min="2" max="2" width="5.6640625" style="6" customWidth="1"/>
    <col min="3" max="3" width="6.44140625" style="6" customWidth="1"/>
    <col min="4" max="4" width="10.88671875" style="6" customWidth="1"/>
    <col min="5" max="5" width="7" style="6" customWidth="1"/>
    <col min="6" max="6" width="10.109375" style="6" customWidth="1"/>
    <col min="7" max="7" width="11.5546875" style="6" customWidth="1"/>
    <col min="8" max="8" width="7.6640625" style="6" customWidth="1"/>
    <col min="9" max="9" width="10.6640625" style="6" customWidth="1"/>
    <col min="10" max="10" width="8.33203125" style="6" customWidth="1"/>
    <col min="11" max="11" width="7.6640625" style="6" customWidth="1"/>
    <col min="12" max="12" width="8.5546875" style="6" customWidth="1"/>
    <col min="13" max="13" width="8.6640625" style="6" customWidth="1"/>
    <col min="14" max="15" width="8.33203125" style="6" customWidth="1"/>
    <col min="16" max="21" width="8" style="6" customWidth="1"/>
    <col min="22" max="23" width="3.44140625" style="6" customWidth="1"/>
    <col min="24" max="24" width="4.21875" style="6" customWidth="1"/>
    <col min="25" max="27" width="7.44140625" style="6" customWidth="1"/>
    <col min="28" max="28" width="4.6640625" style="6" customWidth="1"/>
    <col min="29" max="29" width="4.33203125" style="6" customWidth="1"/>
    <col min="30" max="30" width="11" style="6" customWidth="1"/>
    <col min="31" max="32" width="10.88671875" style="6" customWidth="1"/>
    <col min="33" max="33" width="13" style="6" customWidth="1"/>
    <col min="34" max="34" width="10.88671875" style="6" customWidth="1"/>
    <col min="35" max="16384" width="11.44140625" style="6"/>
  </cols>
  <sheetData>
    <row r="1" spans="1:34" ht="12.75" customHeight="1" thickBot="1" x14ac:dyDescent="0.3">
      <c r="A1" s="1" t="s">
        <v>0</v>
      </c>
      <c r="B1" s="1"/>
      <c r="C1" s="1"/>
      <c r="D1" s="1"/>
      <c r="E1" s="1"/>
      <c r="F1" s="1"/>
      <c r="G1" s="2"/>
      <c r="H1" s="2"/>
      <c r="I1" s="2"/>
      <c r="J1" s="1"/>
      <c r="K1" s="1"/>
      <c r="L1" s="1"/>
      <c r="M1" s="1"/>
      <c r="N1" s="1"/>
      <c r="O1" s="1"/>
      <c r="P1" s="1"/>
      <c r="Q1" s="1"/>
      <c r="R1" s="3"/>
      <c r="S1" s="3"/>
      <c r="T1" s="3"/>
      <c r="U1" s="4" t="s">
        <v>1</v>
      </c>
      <c r="V1" s="5"/>
      <c r="W1" s="5"/>
      <c r="X1" s="5"/>
      <c r="Y1" s="5"/>
      <c r="Z1" s="5"/>
      <c r="AA1" s="5"/>
    </row>
    <row r="2" spans="1:34" ht="12.75" customHeight="1" x14ac:dyDescent="0.25">
      <c r="A2" s="7"/>
      <c r="B2" s="7"/>
      <c r="C2" s="8"/>
      <c r="D2" s="8"/>
      <c r="E2" s="9"/>
      <c r="F2" s="9"/>
      <c r="G2" s="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34" ht="12.75" customHeight="1" x14ac:dyDescent="0.25">
      <c r="A3" s="7"/>
      <c r="B3" s="7"/>
      <c r="C3" s="8"/>
      <c r="D3" s="8"/>
      <c r="E3" s="9"/>
      <c r="F3" s="9"/>
      <c r="G3" s="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34" ht="12.75" customHeight="1" x14ac:dyDescent="0.25">
      <c r="A4" s="7"/>
      <c r="B4" s="7"/>
      <c r="C4" s="8"/>
      <c r="D4" s="8"/>
      <c r="E4" s="9"/>
      <c r="F4" s="9"/>
      <c r="G4" s="9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34" ht="12.75" customHeight="1" x14ac:dyDescent="0.3">
      <c r="A5" s="202" t="s">
        <v>2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10"/>
      <c r="W5" s="10"/>
      <c r="X5" s="10"/>
      <c r="Y5" s="10"/>
      <c r="Z5" s="10"/>
      <c r="AA5" s="10"/>
    </row>
    <row r="6" spans="1:34" ht="12.75" customHeight="1" x14ac:dyDescent="0.25">
      <c r="A6" s="7"/>
      <c r="B6" s="7"/>
      <c r="C6" s="8"/>
      <c r="D6" s="8"/>
      <c r="E6" s="9"/>
      <c r="F6" s="9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34" ht="12.75" customHeight="1" x14ac:dyDescent="0.25">
      <c r="A7" s="203" t="s">
        <v>3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11"/>
      <c r="W7" s="11"/>
      <c r="X7" s="11"/>
      <c r="Y7" s="11"/>
      <c r="Z7" s="11"/>
      <c r="AA7" s="11"/>
    </row>
    <row r="8" spans="1:34" ht="12.75" customHeight="1" x14ac:dyDescent="0.25">
      <c r="A8" s="203" t="s">
        <v>4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11"/>
      <c r="W8" s="11"/>
      <c r="X8" s="11"/>
      <c r="Y8" s="11"/>
      <c r="Z8" s="11"/>
      <c r="AA8" s="11"/>
    </row>
    <row r="9" spans="1:34" ht="12.7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2"/>
      <c r="K9" s="12"/>
      <c r="L9" s="1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E9" s="13"/>
    </row>
    <row r="10" spans="1:34" ht="12.75" customHeight="1" x14ac:dyDescent="0.25">
      <c r="A10" s="203" t="s">
        <v>5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11"/>
      <c r="W10" s="11"/>
      <c r="X10" s="11"/>
      <c r="Y10" s="11"/>
      <c r="Z10" s="11"/>
      <c r="AA10" s="11"/>
      <c r="AE10" s="13"/>
    </row>
    <row r="11" spans="1:34" ht="13.5" customHeight="1" thickBot="1" x14ac:dyDescent="0.3">
      <c r="A11" s="14" t="s">
        <v>6</v>
      </c>
      <c r="B11" s="14"/>
      <c r="C11" s="14"/>
      <c r="D11" s="14"/>
      <c r="E11" s="15"/>
      <c r="F11" s="15"/>
      <c r="G11" s="1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6"/>
      <c r="S11" s="16"/>
      <c r="T11" s="16"/>
      <c r="U11" s="16" t="s">
        <v>7</v>
      </c>
      <c r="V11" s="17"/>
      <c r="W11" s="17"/>
      <c r="X11" s="17"/>
      <c r="Y11" s="17"/>
      <c r="Z11" s="17"/>
      <c r="AA11" s="17"/>
      <c r="AE11" s="13"/>
    </row>
    <row r="12" spans="1:34" ht="27.6" customHeight="1" thickBot="1" x14ac:dyDescent="0.3">
      <c r="A12" s="204" t="s">
        <v>8</v>
      </c>
      <c r="B12" s="205" t="s">
        <v>9</v>
      </c>
      <c r="C12" s="205" t="s">
        <v>10</v>
      </c>
      <c r="D12" s="199" t="s">
        <v>11</v>
      </c>
      <c r="E12" s="199" t="s">
        <v>12</v>
      </c>
      <c r="F12" s="199" t="s">
        <v>13</v>
      </c>
      <c r="G12" s="199" t="s">
        <v>14</v>
      </c>
      <c r="H12" s="188" t="s">
        <v>15</v>
      </c>
      <c r="I12" s="188"/>
      <c r="J12" s="201" t="s">
        <v>16</v>
      </c>
      <c r="K12" s="201"/>
      <c r="L12" s="201"/>
      <c r="M12" s="199" t="s">
        <v>17</v>
      </c>
      <c r="N12" s="199" t="s">
        <v>18</v>
      </c>
      <c r="O12" s="199"/>
      <c r="P12" s="182" t="s">
        <v>19</v>
      </c>
      <c r="Q12" s="182"/>
      <c r="R12" s="182"/>
      <c r="S12" s="188" t="s">
        <v>16</v>
      </c>
      <c r="T12" s="188"/>
      <c r="U12" s="188"/>
      <c r="V12" s="189" t="s">
        <v>20</v>
      </c>
      <c r="W12" s="190"/>
      <c r="X12" s="190"/>
      <c r="Y12" s="191" t="s">
        <v>21</v>
      </c>
      <c r="Z12" s="191"/>
      <c r="AA12" s="191"/>
      <c r="AB12" s="192" t="s">
        <v>22</v>
      </c>
      <c r="AC12" s="192"/>
      <c r="AD12" s="194" t="s">
        <v>23</v>
      </c>
      <c r="AE12" s="18" t="s">
        <v>24</v>
      </c>
      <c r="AF12" s="196" t="s">
        <v>25</v>
      </c>
      <c r="AG12" s="178" t="s">
        <v>26</v>
      </c>
      <c r="AH12" s="180" t="s">
        <v>26</v>
      </c>
    </row>
    <row r="13" spans="1:34" ht="12.75" customHeight="1" x14ac:dyDescent="0.25">
      <c r="A13" s="204"/>
      <c r="B13" s="205"/>
      <c r="C13" s="205"/>
      <c r="D13" s="199"/>
      <c r="E13" s="199"/>
      <c r="F13" s="199"/>
      <c r="G13" s="199"/>
      <c r="H13" s="200"/>
      <c r="I13" s="200"/>
      <c r="J13" s="19" t="s">
        <v>27</v>
      </c>
      <c r="K13" s="19">
        <v>0.75</v>
      </c>
      <c r="L13" s="19">
        <v>1</v>
      </c>
      <c r="M13" s="199"/>
      <c r="N13" s="200"/>
      <c r="O13" s="200"/>
      <c r="P13" s="182"/>
      <c r="Q13" s="182"/>
      <c r="R13" s="182"/>
      <c r="S13" s="182" t="s">
        <v>23</v>
      </c>
      <c r="T13" s="182"/>
      <c r="U13" s="182"/>
      <c r="V13" s="183" t="s">
        <v>28</v>
      </c>
      <c r="W13" s="184"/>
      <c r="X13" s="184"/>
      <c r="Y13" s="185" t="s">
        <v>16</v>
      </c>
      <c r="Z13" s="185"/>
      <c r="AA13" s="185"/>
      <c r="AB13" s="193"/>
      <c r="AC13" s="193"/>
      <c r="AD13" s="195"/>
      <c r="AE13" s="186" t="s">
        <v>29</v>
      </c>
      <c r="AF13" s="197"/>
      <c r="AG13" s="179"/>
      <c r="AH13" s="181"/>
    </row>
    <row r="14" spans="1:34" ht="12.75" customHeight="1" thickBot="1" x14ac:dyDescent="0.35">
      <c r="A14" s="20"/>
      <c r="B14" s="21" t="s">
        <v>30</v>
      </c>
      <c r="C14" s="21" t="s">
        <v>31</v>
      </c>
      <c r="D14" s="21" t="s">
        <v>32</v>
      </c>
      <c r="E14" s="21" t="s">
        <v>30</v>
      </c>
      <c r="F14" s="21" t="s">
        <v>32</v>
      </c>
      <c r="G14" s="21" t="s">
        <v>33</v>
      </c>
      <c r="H14" s="21" t="s">
        <v>34</v>
      </c>
      <c r="I14" s="21" t="s">
        <v>35</v>
      </c>
      <c r="J14" s="21" t="s">
        <v>36</v>
      </c>
      <c r="K14" s="21" t="s">
        <v>36</v>
      </c>
      <c r="L14" s="21" t="s">
        <v>36</v>
      </c>
      <c r="M14" s="21" t="s">
        <v>37</v>
      </c>
      <c r="N14" s="21" t="s">
        <v>38</v>
      </c>
      <c r="O14" s="21" t="s">
        <v>39</v>
      </c>
      <c r="P14" s="21" t="s">
        <v>40</v>
      </c>
      <c r="Q14" s="21" t="s">
        <v>41</v>
      </c>
      <c r="R14" s="21" t="s">
        <v>42</v>
      </c>
      <c r="S14" s="21" t="s">
        <v>40</v>
      </c>
      <c r="T14" s="21" t="s">
        <v>41</v>
      </c>
      <c r="U14" s="21" t="s">
        <v>42</v>
      </c>
      <c r="V14" s="22"/>
      <c r="W14" s="23"/>
      <c r="X14" s="23"/>
      <c r="Y14" s="24" t="str">
        <f>+J14</f>
        <v>BTU/KWh</v>
      </c>
      <c r="Z14" s="24" t="str">
        <f t="shared" ref="Z14:AA14" si="0">+K14</f>
        <v>BTU/KWh</v>
      </c>
      <c r="AA14" s="24" t="str">
        <f t="shared" si="0"/>
        <v>BTU/KWh</v>
      </c>
      <c r="AB14" s="24" t="s">
        <v>38</v>
      </c>
      <c r="AC14" s="24" t="s">
        <v>39</v>
      </c>
      <c r="AD14" s="25">
        <f>1-'[17]% despacho'!G9</f>
        <v>0.91428571428571426</v>
      </c>
      <c r="AE14" s="187"/>
      <c r="AF14" s="198"/>
      <c r="AG14" s="26" t="s">
        <v>43</v>
      </c>
      <c r="AH14" s="26" t="s">
        <v>44</v>
      </c>
    </row>
    <row r="15" spans="1:34" ht="9" customHeight="1" x14ac:dyDescent="0.2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30"/>
      <c r="X15" s="30"/>
      <c r="Y15" s="30"/>
      <c r="Z15" s="30"/>
      <c r="AA15" s="30"/>
      <c r="AB15" s="31"/>
      <c r="AC15" s="31"/>
      <c r="AD15" s="31"/>
      <c r="AE15" s="32"/>
      <c r="AF15" s="33"/>
      <c r="AG15" s="31"/>
      <c r="AH15" s="34"/>
    </row>
    <row r="16" spans="1:34" x14ac:dyDescent="0.25">
      <c r="A16" s="35" t="s">
        <v>45</v>
      </c>
      <c r="B16" s="36">
        <v>11.95</v>
      </c>
      <c r="C16" s="37">
        <v>26</v>
      </c>
      <c r="D16" s="36">
        <v>18.62</v>
      </c>
      <c r="E16" s="36">
        <v>3.5</v>
      </c>
      <c r="F16" s="36">
        <v>17.970000000000002</v>
      </c>
      <c r="G16" s="38">
        <v>925.6</v>
      </c>
      <c r="H16" s="39">
        <v>1.131</v>
      </c>
      <c r="I16" s="39">
        <v>1.2219101123595506</v>
      </c>
      <c r="J16" s="40">
        <v>16761</v>
      </c>
      <c r="K16" s="40">
        <v>14443</v>
      </c>
      <c r="L16" s="40">
        <v>12977</v>
      </c>
      <c r="M16" s="41">
        <v>3.1349999999999998</v>
      </c>
      <c r="N16" s="36">
        <v>90.31159812008373</v>
      </c>
      <c r="O16" s="36">
        <v>14.761175351123637</v>
      </c>
      <c r="P16" s="36">
        <v>20.165819164414106</v>
      </c>
      <c r="Q16" s="36">
        <v>20.224671910112367</v>
      </c>
      <c r="R16" s="36">
        <v>20.346308197139944</v>
      </c>
      <c r="S16" s="36">
        <v>13.937865798922807</v>
      </c>
      <c r="T16" s="36">
        <v>13.98603034482759</v>
      </c>
      <c r="U16" s="36">
        <v>14.085576363636367</v>
      </c>
      <c r="V16" s="42">
        <v>0.5</v>
      </c>
      <c r="W16" s="43">
        <v>0.75</v>
      </c>
      <c r="X16" s="43">
        <v>1</v>
      </c>
      <c r="Y16" s="44">
        <f>+J16</f>
        <v>16761</v>
      </c>
      <c r="Z16" s="44">
        <f t="shared" ref="Z16:AA31" si="1">+K16</f>
        <v>14443</v>
      </c>
      <c r="AA16" s="44">
        <f t="shared" si="1"/>
        <v>12977</v>
      </c>
      <c r="AB16" s="44">
        <f>INDEX(LINEST(Y16:AA16,V16:X16),1,2)</f>
        <v>20403</v>
      </c>
      <c r="AC16" s="44">
        <f>INDEX(LINEST(Y16:AA16,V16:X16),1,1)</f>
        <v>-7567.9999999999991</v>
      </c>
      <c r="AD16" s="44">
        <f>AB16+AC16*$AD$14</f>
        <v>13483.685714285715</v>
      </c>
      <c r="AE16" s="45">
        <f>3412/AD16</f>
        <v>0.25304653878019784</v>
      </c>
      <c r="AF16" s="46" t="s">
        <v>46</v>
      </c>
      <c r="AG16" s="47">
        <v>54.3</v>
      </c>
      <c r="AH16" s="48">
        <f>((AG16*3.6)/1000)/AE16</f>
        <v>0.77250612058281698</v>
      </c>
    </row>
    <row r="17" spans="1:34" x14ac:dyDescent="0.25">
      <c r="A17" s="35" t="s">
        <v>47</v>
      </c>
      <c r="B17" s="36">
        <v>2.76</v>
      </c>
      <c r="C17" s="37">
        <v>26</v>
      </c>
      <c r="D17" s="36">
        <v>17.62</v>
      </c>
      <c r="E17" s="36">
        <v>3.5</v>
      </c>
      <c r="F17" s="36">
        <v>17</v>
      </c>
      <c r="G17" s="38">
        <v>925.6</v>
      </c>
      <c r="H17" s="39">
        <v>1.131</v>
      </c>
      <c r="I17" s="39">
        <v>1.2219101123595506</v>
      </c>
      <c r="J17" s="40">
        <v>18220</v>
      </c>
      <c r="K17" s="40">
        <v>15214</v>
      </c>
      <c r="L17" s="40">
        <v>13610</v>
      </c>
      <c r="M17" s="41">
        <v>4.1399999999999997</v>
      </c>
      <c r="N17" s="36">
        <v>103.10254095716307</v>
      </c>
      <c r="O17" s="36">
        <v>15.522092696629217</v>
      </c>
      <c r="P17" s="36">
        <v>22.043442535791964</v>
      </c>
      <c r="Q17" s="36">
        <v>22.11432677317417</v>
      </c>
      <c r="R17" s="36">
        <v>22.26082086376406</v>
      </c>
      <c r="S17" s="36">
        <v>14.652012741935492</v>
      </c>
      <c r="T17" s="36">
        <v>14.71002375000001</v>
      </c>
      <c r="U17" s="36">
        <v>14.829913166666678</v>
      </c>
      <c r="V17" s="42">
        <f>+V16</f>
        <v>0.5</v>
      </c>
      <c r="W17" s="43">
        <f t="shared" ref="W17:X32" si="2">+W16</f>
        <v>0.75</v>
      </c>
      <c r="X17" s="43">
        <f t="shared" si="2"/>
        <v>1</v>
      </c>
      <c r="Y17" s="44">
        <f>+J17</f>
        <v>18220</v>
      </c>
      <c r="Z17" s="44">
        <f t="shared" si="1"/>
        <v>15214</v>
      </c>
      <c r="AA17" s="44">
        <f t="shared" si="1"/>
        <v>13610</v>
      </c>
      <c r="AB17" s="44">
        <f t="shared" ref="AB17:AB70" si="3">INDEX(LINEST(Y17:AA17,V17:X17),1,2)</f>
        <v>22596.333333333336</v>
      </c>
      <c r="AC17" s="44">
        <f t="shared" ref="AC17:AC70" si="4">INDEX(LINEST(Y17:AA17,V17:X17),1,1)</f>
        <v>-9220</v>
      </c>
      <c r="AD17" s="44">
        <f t="shared" ref="AD17:AD70" si="5">AB17+AC17*$AD$14</f>
        <v>14166.61904761905</v>
      </c>
      <c r="AE17" s="45">
        <f t="shared" ref="AE17:AE26" si="6">3412/AD17</f>
        <v>0.24084786839619626</v>
      </c>
      <c r="AF17" s="46" t="s">
        <v>46</v>
      </c>
      <c r="AG17" s="49">
        <f>+AG16</f>
        <v>54.3</v>
      </c>
      <c r="AH17" s="48">
        <f t="shared" ref="AH17:AH26" si="7">((AG17*3.6)/1000)/AE17</f>
        <v>0.81163267626863178</v>
      </c>
    </row>
    <row r="18" spans="1:34" x14ac:dyDescent="0.25">
      <c r="A18" s="35" t="s">
        <v>48</v>
      </c>
      <c r="B18" s="36">
        <v>1.39</v>
      </c>
      <c r="C18" s="37">
        <v>26</v>
      </c>
      <c r="D18" s="36">
        <v>19.95</v>
      </c>
      <c r="E18" s="36">
        <v>3.5</v>
      </c>
      <c r="F18" s="36">
        <v>19.25</v>
      </c>
      <c r="G18" s="38">
        <v>925.6</v>
      </c>
      <c r="H18" s="39">
        <v>1.131</v>
      </c>
      <c r="I18" s="39">
        <v>1.2219101123595506</v>
      </c>
      <c r="J18" s="40">
        <v>16884</v>
      </c>
      <c r="K18" s="40">
        <v>13887</v>
      </c>
      <c r="L18" s="40">
        <v>12867</v>
      </c>
      <c r="M18" s="41">
        <v>4.1399999999999997</v>
      </c>
      <c r="N18" s="36">
        <v>99.338020241396848</v>
      </c>
      <c r="O18" s="36">
        <v>15.332391151685385</v>
      </c>
      <c r="P18" s="36">
        <v>20.882001221037164</v>
      </c>
      <c r="Q18" s="36">
        <v>20.941539668986167</v>
      </c>
      <c r="R18" s="36">
        <v>21.064533115989878</v>
      </c>
      <c r="S18" s="36">
        <v>13.7014998498603</v>
      </c>
      <c r="T18" s="36">
        <v>13.750225568181781</v>
      </c>
      <c r="U18" s="36">
        <v>13.850882274235394</v>
      </c>
      <c r="V18" s="42">
        <f t="shared" ref="V18:X33" si="8">+V17</f>
        <v>0.5</v>
      </c>
      <c r="W18" s="43">
        <f t="shared" si="2"/>
        <v>0.75</v>
      </c>
      <c r="X18" s="43">
        <f t="shared" si="2"/>
        <v>1</v>
      </c>
      <c r="Y18" s="44">
        <f t="shared" ref="Y18:AA69" si="9">+J18</f>
        <v>16884</v>
      </c>
      <c r="Z18" s="44">
        <f t="shared" si="1"/>
        <v>13887</v>
      </c>
      <c r="AA18" s="44">
        <f t="shared" si="1"/>
        <v>12867</v>
      </c>
      <c r="AB18" s="44">
        <f t="shared" si="3"/>
        <v>20571.5</v>
      </c>
      <c r="AC18" s="44">
        <f t="shared" si="4"/>
        <v>-8034.0000000000018</v>
      </c>
      <c r="AD18" s="44">
        <f t="shared" si="5"/>
        <v>13226.12857142857</v>
      </c>
      <c r="AE18" s="45">
        <f t="shared" si="6"/>
        <v>0.25797420473975219</v>
      </c>
      <c r="AF18" s="46" t="s">
        <v>46</v>
      </c>
      <c r="AG18" s="49">
        <f t="shared" ref="AG18:AG26" si="10">+AG17</f>
        <v>54.3</v>
      </c>
      <c r="AH18" s="48">
        <f t="shared" si="7"/>
        <v>0.75775017970189229</v>
      </c>
    </row>
    <row r="19" spans="1:34" x14ac:dyDescent="0.25">
      <c r="A19" s="35" t="s">
        <v>49</v>
      </c>
      <c r="B19" s="36">
        <v>3.42</v>
      </c>
      <c r="C19" s="37">
        <v>26</v>
      </c>
      <c r="D19" s="36">
        <v>20.71</v>
      </c>
      <c r="E19" s="36">
        <v>3.5</v>
      </c>
      <c r="F19" s="36">
        <v>19.990000000000002</v>
      </c>
      <c r="G19" s="38">
        <v>925.6</v>
      </c>
      <c r="H19" s="39">
        <v>1.131</v>
      </c>
      <c r="I19" s="39">
        <v>1.2219101123595506</v>
      </c>
      <c r="J19" s="40">
        <v>16387</v>
      </c>
      <c r="K19" s="40">
        <v>13684</v>
      </c>
      <c r="L19" s="40">
        <v>12598</v>
      </c>
      <c r="M19" s="41">
        <v>4.0650000000000004</v>
      </c>
      <c r="N19" s="36">
        <v>98.080469729810162</v>
      </c>
      <c r="O19" s="36">
        <v>15.205539396067447</v>
      </c>
      <c r="P19" s="36">
        <v>20.481519478359548</v>
      </c>
      <c r="Q19" s="36">
        <v>20.5388982720767</v>
      </c>
      <c r="R19" s="36">
        <v>20.657483238747275</v>
      </c>
      <c r="S19" s="36">
        <v>13.435128584588503</v>
      </c>
      <c r="T19" s="36">
        <v>13.482086861745527</v>
      </c>
      <c r="U19" s="36">
        <v>13.579135708032251</v>
      </c>
      <c r="V19" s="42">
        <f t="shared" si="8"/>
        <v>0.5</v>
      </c>
      <c r="W19" s="43">
        <f t="shared" si="2"/>
        <v>0.75</v>
      </c>
      <c r="X19" s="43">
        <f t="shared" si="2"/>
        <v>1</v>
      </c>
      <c r="Y19" s="44">
        <f t="shared" si="9"/>
        <v>16387</v>
      </c>
      <c r="Z19" s="44">
        <f t="shared" si="1"/>
        <v>13684</v>
      </c>
      <c r="AA19" s="44">
        <f t="shared" si="1"/>
        <v>12598</v>
      </c>
      <c r="AB19" s="44">
        <f t="shared" si="3"/>
        <v>19906.5</v>
      </c>
      <c r="AC19" s="44">
        <f t="shared" si="4"/>
        <v>-7577.9999999999991</v>
      </c>
      <c r="AD19" s="44">
        <f t="shared" si="5"/>
        <v>12978.042857142858</v>
      </c>
      <c r="AE19" s="45">
        <f t="shared" si="6"/>
        <v>0.26290558889024646</v>
      </c>
      <c r="AF19" s="46" t="s">
        <v>46</v>
      </c>
      <c r="AG19" s="49">
        <f t="shared" si="10"/>
        <v>54.3</v>
      </c>
      <c r="AH19" s="48">
        <f t="shared" si="7"/>
        <v>0.74353687506280364</v>
      </c>
    </row>
    <row r="20" spans="1:34" x14ac:dyDescent="0.25">
      <c r="A20" s="35" t="s">
        <v>50</v>
      </c>
      <c r="B20" s="36">
        <v>3.06</v>
      </c>
      <c r="C20" s="37">
        <v>26</v>
      </c>
      <c r="D20" s="36">
        <v>50.84</v>
      </c>
      <c r="E20" s="36">
        <v>3.5</v>
      </c>
      <c r="F20" s="36">
        <v>49.06</v>
      </c>
      <c r="G20" s="38">
        <v>925.6</v>
      </c>
      <c r="H20" s="39">
        <v>1.131</v>
      </c>
      <c r="I20" s="39">
        <v>1.2219101123595506</v>
      </c>
      <c r="J20" s="40">
        <v>16181</v>
      </c>
      <c r="K20" s="40">
        <v>13345</v>
      </c>
      <c r="L20" s="40">
        <v>11934</v>
      </c>
      <c r="M20" s="41">
        <v>10.624000000000001</v>
      </c>
      <c r="N20" s="36">
        <v>272.99085136938305</v>
      </c>
      <c r="O20" s="36">
        <v>20.345571839887679</v>
      </c>
      <c r="P20" s="36">
        <v>26.328277326834492</v>
      </c>
      <c r="Q20" s="36">
        <v>26.393220297339671</v>
      </c>
      <c r="R20" s="36">
        <v>26.52883008154981</v>
      </c>
      <c r="S20" s="36">
        <v>12.852236157133515</v>
      </c>
      <c r="T20" s="36">
        <v>12.905384887018212</v>
      </c>
      <c r="U20" s="36">
        <v>13.016366687429269</v>
      </c>
      <c r="V20" s="42">
        <f t="shared" si="8"/>
        <v>0.5</v>
      </c>
      <c r="W20" s="43">
        <f t="shared" si="2"/>
        <v>0.75</v>
      </c>
      <c r="X20" s="43">
        <f t="shared" si="2"/>
        <v>1</v>
      </c>
      <c r="Y20" s="44">
        <f t="shared" si="9"/>
        <v>16181</v>
      </c>
      <c r="Z20" s="44">
        <f t="shared" si="1"/>
        <v>13345</v>
      </c>
      <c r="AA20" s="44">
        <f t="shared" si="1"/>
        <v>11934</v>
      </c>
      <c r="AB20" s="44">
        <f t="shared" si="3"/>
        <v>20190.5</v>
      </c>
      <c r="AC20" s="44">
        <f t="shared" si="4"/>
        <v>-8494</v>
      </c>
      <c r="AD20" s="44">
        <f t="shared" si="5"/>
        <v>12424.557142857142</v>
      </c>
      <c r="AE20" s="45">
        <f t="shared" si="6"/>
        <v>0.27461743390681359</v>
      </c>
      <c r="AF20" s="46" t="s">
        <v>46</v>
      </c>
      <c r="AG20" s="49">
        <f t="shared" si="10"/>
        <v>54.3</v>
      </c>
      <c r="AH20" s="48">
        <f t="shared" si="7"/>
        <v>0.71182662083403103</v>
      </c>
    </row>
    <row r="21" spans="1:34" x14ac:dyDescent="0.25">
      <c r="A21" s="35" t="s">
        <v>51</v>
      </c>
      <c r="B21" s="36">
        <v>3.27</v>
      </c>
      <c r="C21" s="37">
        <v>26</v>
      </c>
      <c r="D21" s="36">
        <v>51.85</v>
      </c>
      <c r="E21" s="36">
        <v>3.5</v>
      </c>
      <c r="F21" s="36">
        <v>50.04</v>
      </c>
      <c r="G21" s="38">
        <v>925.6</v>
      </c>
      <c r="H21" s="39">
        <v>1.131</v>
      </c>
      <c r="I21" s="39">
        <v>1.2219101123595506</v>
      </c>
      <c r="J21" s="40">
        <v>16181</v>
      </c>
      <c r="K21" s="40">
        <v>13345</v>
      </c>
      <c r="L21" s="40">
        <v>11934</v>
      </c>
      <c r="M21" s="41">
        <v>10.624000000000001</v>
      </c>
      <c r="N21" s="36">
        <v>278.41415506495747</v>
      </c>
      <c r="O21" s="36">
        <v>20.345571839887644</v>
      </c>
      <c r="P21" s="36">
        <v>26.327826998137699</v>
      </c>
      <c r="Q21" s="36">
        <v>26.3927950167981</v>
      </c>
      <c r="R21" s="36">
        <v>26.527058408825418</v>
      </c>
      <c r="S21" s="36">
        <v>12.851867612269013</v>
      </c>
      <c r="T21" s="36">
        <v>12.905036841333617</v>
      </c>
      <c r="U21" s="36">
        <v>13.01491676676287</v>
      </c>
      <c r="V21" s="42">
        <f t="shared" si="8"/>
        <v>0.5</v>
      </c>
      <c r="W21" s="43">
        <f t="shared" si="2"/>
        <v>0.75</v>
      </c>
      <c r="X21" s="43">
        <f t="shared" si="2"/>
        <v>1</v>
      </c>
      <c r="Y21" s="44">
        <f t="shared" si="9"/>
        <v>16181</v>
      </c>
      <c r="Z21" s="44">
        <f t="shared" si="1"/>
        <v>13345</v>
      </c>
      <c r="AA21" s="44">
        <f t="shared" si="1"/>
        <v>11934</v>
      </c>
      <c r="AB21" s="44">
        <f t="shared" si="3"/>
        <v>20190.5</v>
      </c>
      <c r="AC21" s="44">
        <f t="shared" si="4"/>
        <v>-8494</v>
      </c>
      <c r="AD21" s="44">
        <f t="shared" si="5"/>
        <v>12424.557142857142</v>
      </c>
      <c r="AE21" s="45">
        <f t="shared" si="6"/>
        <v>0.27461743390681359</v>
      </c>
      <c r="AF21" s="46" t="s">
        <v>46</v>
      </c>
      <c r="AG21" s="49">
        <f t="shared" si="10"/>
        <v>54.3</v>
      </c>
      <c r="AH21" s="48">
        <f t="shared" si="7"/>
        <v>0.71182662083403103</v>
      </c>
    </row>
    <row r="22" spans="1:34" x14ac:dyDescent="0.25">
      <c r="A22" s="35" t="s">
        <v>52</v>
      </c>
      <c r="B22" s="36">
        <v>2.54</v>
      </c>
      <c r="C22" s="37">
        <v>26</v>
      </c>
      <c r="D22" s="36">
        <v>62.22</v>
      </c>
      <c r="E22" s="36">
        <v>3.5</v>
      </c>
      <c r="F22" s="36">
        <v>60.04</v>
      </c>
      <c r="G22" s="38">
        <v>925.6</v>
      </c>
      <c r="H22" s="39">
        <v>1.131</v>
      </c>
      <c r="I22" s="39">
        <v>1.2219101123595506</v>
      </c>
      <c r="J22" s="40">
        <v>13827</v>
      </c>
      <c r="K22" s="40">
        <v>11267</v>
      </c>
      <c r="L22" s="40">
        <v>10242</v>
      </c>
      <c r="M22" s="41">
        <v>10.624000000000001</v>
      </c>
      <c r="N22" s="36">
        <v>278.75295148525316</v>
      </c>
      <c r="O22" s="36">
        <v>19.042954564606696</v>
      </c>
      <c r="P22" s="36">
        <v>24.03494868146295</v>
      </c>
      <c r="Q22" s="36">
        <v>24.089170196128293</v>
      </c>
      <c r="R22" s="36">
        <v>24.201225317479622</v>
      </c>
      <c r="S22" s="36">
        <v>10.975397081840942</v>
      </c>
      <c r="T22" s="36">
        <v>11.019771470854419</v>
      </c>
      <c r="U22" s="36">
        <v>11.111476351776426</v>
      </c>
      <c r="V22" s="42">
        <f t="shared" si="8"/>
        <v>0.5</v>
      </c>
      <c r="W22" s="43">
        <f t="shared" si="2"/>
        <v>0.75</v>
      </c>
      <c r="X22" s="43">
        <f t="shared" si="2"/>
        <v>1</v>
      </c>
      <c r="Y22" s="44">
        <f t="shared" si="9"/>
        <v>13827</v>
      </c>
      <c r="Z22" s="44">
        <f t="shared" si="1"/>
        <v>11267</v>
      </c>
      <c r="AA22" s="44">
        <f t="shared" si="1"/>
        <v>10242</v>
      </c>
      <c r="AB22" s="44">
        <f t="shared" si="3"/>
        <v>17156.166666666664</v>
      </c>
      <c r="AC22" s="44">
        <f t="shared" si="4"/>
        <v>-7169.9999999999982</v>
      </c>
      <c r="AD22" s="44">
        <f t="shared" si="5"/>
        <v>10600.738095238095</v>
      </c>
      <c r="AE22" s="45">
        <f t="shared" si="6"/>
        <v>0.32186438051258787</v>
      </c>
      <c r="AF22" s="46" t="s">
        <v>46</v>
      </c>
      <c r="AG22" s="49">
        <f t="shared" si="10"/>
        <v>54.3</v>
      </c>
      <c r="AH22" s="48">
        <f t="shared" si="7"/>
        <v>0.60733654245520008</v>
      </c>
    </row>
    <row r="23" spans="1:34" x14ac:dyDescent="0.25">
      <c r="A23" s="35" t="s">
        <v>53</v>
      </c>
      <c r="B23" s="36">
        <v>5.79</v>
      </c>
      <c r="C23" s="37">
        <v>26</v>
      </c>
      <c r="D23" s="36">
        <v>103.96</v>
      </c>
      <c r="E23" s="36">
        <v>3.5</v>
      </c>
      <c r="F23" s="36">
        <v>100.32</v>
      </c>
      <c r="G23" s="38">
        <v>925.6</v>
      </c>
      <c r="H23" s="39">
        <v>1.131</v>
      </c>
      <c r="I23" s="39">
        <v>1.2219101123595506</v>
      </c>
      <c r="J23" s="40">
        <v>7636</v>
      </c>
      <c r="K23" s="40">
        <v>7378</v>
      </c>
      <c r="L23" s="40">
        <v>7218</v>
      </c>
      <c r="M23" s="41">
        <v>3.008</v>
      </c>
      <c r="N23" s="36">
        <v>55.636183403092929</v>
      </c>
      <c r="O23" s="36">
        <v>11.607803370786511</v>
      </c>
      <c r="P23" s="36">
        <v>12.204118305439168</v>
      </c>
      <c r="Q23" s="36">
        <v>12.210644235485752</v>
      </c>
      <c r="R23" s="36">
        <v>12.223997671407764</v>
      </c>
      <c r="S23" s="36">
        <v>7.5260186591640084</v>
      </c>
      <c r="T23" s="36">
        <v>7.5313594203055816</v>
      </c>
      <c r="U23" s="36">
        <v>7.5422877494739389</v>
      </c>
      <c r="V23" s="42">
        <f t="shared" si="8"/>
        <v>0.5</v>
      </c>
      <c r="W23" s="43">
        <f t="shared" si="2"/>
        <v>0.75</v>
      </c>
      <c r="X23" s="43">
        <f t="shared" si="2"/>
        <v>1</v>
      </c>
      <c r="Y23" s="44">
        <f t="shared" si="9"/>
        <v>7636</v>
      </c>
      <c r="Z23" s="44">
        <f t="shared" si="1"/>
        <v>7378</v>
      </c>
      <c r="AA23" s="44">
        <f t="shared" si="1"/>
        <v>7218</v>
      </c>
      <c r="AB23" s="44">
        <f t="shared" si="3"/>
        <v>8037.666666666667</v>
      </c>
      <c r="AC23" s="44">
        <f t="shared" si="4"/>
        <v>-836.00000000000011</v>
      </c>
      <c r="AD23" s="44">
        <f t="shared" si="5"/>
        <v>7273.3238095238094</v>
      </c>
      <c r="AE23" s="45">
        <f t="shared" si="6"/>
        <v>0.46911152168589981</v>
      </c>
      <c r="AF23" s="46" t="s">
        <v>46</v>
      </c>
      <c r="AG23" s="49">
        <f t="shared" si="10"/>
        <v>54.3</v>
      </c>
      <c r="AH23" s="48">
        <f t="shared" si="7"/>
        <v>0.41670261966169819</v>
      </c>
    </row>
    <row r="24" spans="1:34" x14ac:dyDescent="0.25">
      <c r="A24" s="35" t="s">
        <v>54</v>
      </c>
      <c r="B24" s="36">
        <v>5.92</v>
      </c>
      <c r="C24" s="37">
        <v>26</v>
      </c>
      <c r="D24" s="36">
        <v>102.87</v>
      </c>
      <c r="E24" s="36">
        <v>3.5</v>
      </c>
      <c r="F24" s="36">
        <v>99.27000000000001</v>
      </c>
      <c r="G24" s="38">
        <v>925.6</v>
      </c>
      <c r="H24" s="39">
        <v>1.131</v>
      </c>
      <c r="I24" s="39">
        <v>1.2219101123595506</v>
      </c>
      <c r="J24" s="40">
        <v>7636</v>
      </c>
      <c r="K24" s="40">
        <v>7378</v>
      </c>
      <c r="L24" s="40">
        <v>7218</v>
      </c>
      <c r="M24" s="41">
        <v>3.008</v>
      </c>
      <c r="N24" s="36">
        <v>55.052849044592428</v>
      </c>
      <c r="O24" s="36">
        <v>11.607803370786495</v>
      </c>
      <c r="P24" s="36">
        <v>12.204129725255651</v>
      </c>
      <c r="Q24" s="36">
        <v>12.210593790633123</v>
      </c>
      <c r="R24" s="36">
        <v>12.224020619998409</v>
      </c>
      <c r="S24" s="36">
        <v>7.5260280050368094</v>
      </c>
      <c r="T24" s="36">
        <v>7.5313181367020503</v>
      </c>
      <c r="U24" s="36">
        <v>7.5423065303895029</v>
      </c>
      <c r="V24" s="42">
        <f t="shared" si="8"/>
        <v>0.5</v>
      </c>
      <c r="W24" s="43">
        <f t="shared" si="2"/>
        <v>0.75</v>
      </c>
      <c r="X24" s="43">
        <f t="shared" si="2"/>
        <v>1</v>
      </c>
      <c r="Y24" s="44">
        <f t="shared" si="9"/>
        <v>7636</v>
      </c>
      <c r="Z24" s="44">
        <f t="shared" si="1"/>
        <v>7378</v>
      </c>
      <c r="AA24" s="44">
        <f t="shared" si="1"/>
        <v>7218</v>
      </c>
      <c r="AB24" s="44">
        <f t="shared" si="3"/>
        <v>8037.666666666667</v>
      </c>
      <c r="AC24" s="44">
        <f t="shared" si="4"/>
        <v>-836.00000000000011</v>
      </c>
      <c r="AD24" s="44">
        <f t="shared" si="5"/>
        <v>7273.3238095238094</v>
      </c>
      <c r="AE24" s="45">
        <f t="shared" si="6"/>
        <v>0.46911152168589981</v>
      </c>
      <c r="AF24" s="46" t="s">
        <v>46</v>
      </c>
      <c r="AG24" s="49">
        <f t="shared" si="10"/>
        <v>54.3</v>
      </c>
      <c r="AH24" s="48">
        <f t="shared" si="7"/>
        <v>0.41670261966169819</v>
      </c>
    </row>
    <row r="25" spans="1:34" x14ac:dyDescent="0.25">
      <c r="A25" s="35" t="s">
        <v>55</v>
      </c>
      <c r="B25" s="36">
        <v>0.6</v>
      </c>
      <c r="C25" s="37">
        <v>26</v>
      </c>
      <c r="D25" s="36">
        <v>20.76</v>
      </c>
      <c r="E25" s="36">
        <v>2.2999999999999998</v>
      </c>
      <c r="F25" s="36">
        <v>20.28</v>
      </c>
      <c r="G25" s="38">
        <v>925.6</v>
      </c>
      <c r="H25" s="39">
        <v>1.131</v>
      </c>
      <c r="I25" s="39">
        <v>1.2219101123595506</v>
      </c>
      <c r="J25" s="40">
        <v>16152</v>
      </c>
      <c r="K25" s="40">
        <v>13915</v>
      </c>
      <c r="L25" s="40">
        <v>12683</v>
      </c>
      <c r="M25" s="41">
        <v>3.1349999999999998</v>
      </c>
      <c r="N25" s="36">
        <v>90.512454482443758</v>
      </c>
      <c r="O25" s="36">
        <v>14.652629410112384</v>
      </c>
      <c r="P25" s="36">
        <v>19.451805151493282</v>
      </c>
      <c r="Q25" s="36">
        <v>19.503243262333378</v>
      </c>
      <c r="R25" s="36">
        <v>19.612215957095604</v>
      </c>
      <c r="S25" s="36">
        <v>13.353523296394503</v>
      </c>
      <c r="T25" s="36">
        <v>13.395619773311914</v>
      </c>
      <c r="U25" s="36">
        <v>13.484802024657549</v>
      </c>
      <c r="V25" s="42">
        <f t="shared" si="8"/>
        <v>0.5</v>
      </c>
      <c r="W25" s="43">
        <f t="shared" si="2"/>
        <v>0.75</v>
      </c>
      <c r="X25" s="43">
        <f t="shared" si="2"/>
        <v>1</v>
      </c>
      <c r="Y25" s="44">
        <f t="shared" si="9"/>
        <v>16152</v>
      </c>
      <c r="Z25" s="44">
        <f t="shared" si="1"/>
        <v>13915</v>
      </c>
      <c r="AA25" s="44">
        <f t="shared" si="1"/>
        <v>12683</v>
      </c>
      <c r="AB25" s="44">
        <f t="shared" si="3"/>
        <v>19453.5</v>
      </c>
      <c r="AC25" s="44">
        <f t="shared" si="4"/>
        <v>-6938.0000000000009</v>
      </c>
      <c r="AD25" s="44">
        <f t="shared" si="5"/>
        <v>13110.185714285713</v>
      </c>
      <c r="AE25" s="45">
        <f t="shared" si="6"/>
        <v>0.26025565726975647</v>
      </c>
      <c r="AF25" s="46" t="s">
        <v>46</v>
      </c>
      <c r="AG25" s="49">
        <f t="shared" si="10"/>
        <v>54.3</v>
      </c>
      <c r="AH25" s="48">
        <f t="shared" si="7"/>
        <v>0.75110759186065978</v>
      </c>
    </row>
    <row r="26" spans="1:34" x14ac:dyDescent="0.25">
      <c r="A26" s="35" t="s">
        <v>56</v>
      </c>
      <c r="B26" s="36">
        <v>2.2400000000000002</v>
      </c>
      <c r="C26" s="37">
        <v>26</v>
      </c>
      <c r="D26" s="36">
        <v>21.19</v>
      </c>
      <c r="E26" s="36">
        <v>2.2999999999999998</v>
      </c>
      <c r="F26" s="36">
        <v>20.700000000000003</v>
      </c>
      <c r="G26" s="38">
        <v>925.6</v>
      </c>
      <c r="H26" s="39">
        <v>1.131</v>
      </c>
      <c r="I26" s="39">
        <v>1.2219101123595506</v>
      </c>
      <c r="J26" s="40">
        <v>16523</v>
      </c>
      <c r="K26" s="40">
        <v>14234</v>
      </c>
      <c r="L26" s="40">
        <v>12816</v>
      </c>
      <c r="M26" s="41">
        <v>3.1349999999999998</v>
      </c>
      <c r="N26" s="36">
        <v>99.397667856846383</v>
      </c>
      <c r="O26" s="36">
        <v>14.521377935393263</v>
      </c>
      <c r="P26" s="36">
        <v>19.684893148735934</v>
      </c>
      <c r="Q26" s="36">
        <v>19.741843684177212</v>
      </c>
      <c r="R26" s="36">
        <v>19.856733161203589</v>
      </c>
      <c r="S26" s="36">
        <v>13.544280369999981</v>
      </c>
      <c r="T26" s="36">
        <v>13.590888164522042</v>
      </c>
      <c r="U26" s="36">
        <v>13.684912656065464</v>
      </c>
      <c r="V26" s="42">
        <f t="shared" si="8"/>
        <v>0.5</v>
      </c>
      <c r="W26" s="43">
        <f t="shared" si="2"/>
        <v>0.75</v>
      </c>
      <c r="X26" s="43">
        <f t="shared" si="2"/>
        <v>1</v>
      </c>
      <c r="Y26" s="44">
        <f t="shared" si="9"/>
        <v>16523</v>
      </c>
      <c r="Z26" s="44">
        <f t="shared" si="1"/>
        <v>14234</v>
      </c>
      <c r="AA26" s="44">
        <f t="shared" si="1"/>
        <v>12816</v>
      </c>
      <c r="AB26" s="44">
        <f t="shared" si="3"/>
        <v>20084.833333333336</v>
      </c>
      <c r="AC26" s="44">
        <f t="shared" si="4"/>
        <v>-7414</v>
      </c>
      <c r="AD26" s="44">
        <f t="shared" si="5"/>
        <v>13306.31904761905</v>
      </c>
      <c r="AE26" s="45">
        <f t="shared" si="6"/>
        <v>0.25641952427185505</v>
      </c>
      <c r="AF26" s="46" t="s">
        <v>46</v>
      </c>
      <c r="AG26" s="49">
        <f t="shared" si="10"/>
        <v>54.3</v>
      </c>
      <c r="AH26" s="48">
        <f t="shared" si="7"/>
        <v>0.76234444531904211</v>
      </c>
    </row>
    <row r="27" spans="1:34" hidden="1" x14ac:dyDescent="0.25">
      <c r="A27" s="35" t="s">
        <v>57</v>
      </c>
      <c r="B27" s="36">
        <v>12.65</v>
      </c>
      <c r="C27" s="37">
        <v>26</v>
      </c>
      <c r="D27" s="36">
        <v>21</v>
      </c>
      <c r="E27" s="36">
        <v>1.7</v>
      </c>
      <c r="F27" s="36">
        <v>20.64</v>
      </c>
      <c r="G27" s="38"/>
      <c r="H27" s="39"/>
      <c r="I27" s="39"/>
      <c r="J27" s="40"/>
      <c r="K27" s="40"/>
      <c r="L27" s="40"/>
      <c r="M27" s="41">
        <v>2.0830000000000002</v>
      </c>
      <c r="N27" s="36">
        <v>0</v>
      </c>
      <c r="O27" s="36">
        <v>2.0830000000000006</v>
      </c>
      <c r="P27" s="36">
        <v>2.0830000000000006</v>
      </c>
      <c r="Q27" s="36">
        <v>2.0830000000000006</v>
      </c>
      <c r="R27" s="36">
        <v>2.0830000000000006</v>
      </c>
      <c r="S27" s="36">
        <v>0</v>
      </c>
      <c r="T27" s="36">
        <v>0</v>
      </c>
      <c r="U27" s="36">
        <v>0</v>
      </c>
      <c r="V27" s="42"/>
      <c r="W27" s="43"/>
      <c r="X27" s="43"/>
      <c r="Y27" s="44"/>
      <c r="Z27" s="44"/>
      <c r="AA27" s="44"/>
      <c r="AB27" s="44"/>
      <c r="AC27" s="44"/>
      <c r="AD27" s="44"/>
      <c r="AE27" s="50"/>
      <c r="AF27" s="46" t="s">
        <v>58</v>
      </c>
      <c r="AG27" s="49"/>
      <c r="AH27" s="51"/>
    </row>
    <row r="28" spans="1:34" hidden="1" x14ac:dyDescent="0.25">
      <c r="A28" s="35" t="s">
        <v>59</v>
      </c>
      <c r="B28" s="36">
        <v>3</v>
      </c>
      <c r="C28" s="37">
        <v>26</v>
      </c>
      <c r="D28" s="36">
        <v>5</v>
      </c>
      <c r="E28" s="36">
        <v>0</v>
      </c>
      <c r="F28" s="36">
        <v>5</v>
      </c>
      <c r="G28" s="38"/>
      <c r="H28" s="39"/>
      <c r="I28" s="39"/>
      <c r="J28" s="40"/>
      <c r="K28" s="40"/>
      <c r="L28" s="40"/>
      <c r="M28" s="41">
        <v>3.5</v>
      </c>
      <c r="N28" s="36">
        <v>0</v>
      </c>
      <c r="O28" s="36">
        <v>3.5</v>
      </c>
      <c r="P28" s="36">
        <v>3.5</v>
      </c>
      <c r="Q28" s="36">
        <v>3.5</v>
      </c>
      <c r="R28" s="36">
        <v>3.5</v>
      </c>
      <c r="S28" s="36">
        <v>0</v>
      </c>
      <c r="T28" s="36">
        <v>0</v>
      </c>
      <c r="U28" s="36">
        <v>0</v>
      </c>
      <c r="V28" s="42"/>
      <c r="W28" s="43"/>
      <c r="X28" s="43"/>
      <c r="Y28" s="44"/>
      <c r="Z28" s="44"/>
      <c r="AA28" s="44"/>
      <c r="AB28" s="44"/>
      <c r="AC28" s="44"/>
      <c r="AD28" s="44"/>
      <c r="AE28" s="50"/>
      <c r="AF28" s="46" t="s">
        <v>58</v>
      </c>
      <c r="AG28" s="49"/>
      <c r="AH28" s="51"/>
    </row>
    <row r="29" spans="1:34" hidden="1" x14ac:dyDescent="0.25">
      <c r="A29" s="35" t="s">
        <v>60</v>
      </c>
      <c r="B29" s="36">
        <v>5</v>
      </c>
      <c r="C29" s="37">
        <v>26</v>
      </c>
      <c r="D29" s="36">
        <v>14.57</v>
      </c>
      <c r="E29" s="36">
        <v>0</v>
      </c>
      <c r="F29" s="36">
        <v>14.57</v>
      </c>
      <c r="G29" s="38"/>
      <c r="H29" s="39"/>
      <c r="I29" s="39"/>
      <c r="J29" s="40"/>
      <c r="K29" s="40"/>
      <c r="L29" s="40"/>
      <c r="M29" s="41">
        <v>3.5</v>
      </c>
      <c r="N29" s="36">
        <v>-9.1398651707316319E-14</v>
      </c>
      <c r="O29" s="36">
        <v>3.5000000000000084</v>
      </c>
      <c r="P29" s="36">
        <v>3.5000000000000018</v>
      </c>
      <c r="Q29" s="36">
        <v>3.5000000000000013</v>
      </c>
      <c r="R29" s="36">
        <v>3.5000000000000018</v>
      </c>
      <c r="S29" s="36">
        <v>0</v>
      </c>
      <c r="T29" s="36">
        <v>0</v>
      </c>
      <c r="U29" s="36">
        <v>0</v>
      </c>
      <c r="V29" s="42"/>
      <c r="W29" s="43"/>
      <c r="X29" s="43"/>
      <c r="Y29" s="44"/>
      <c r="Z29" s="44"/>
      <c r="AA29" s="44"/>
      <c r="AB29" s="44"/>
      <c r="AC29" s="44"/>
      <c r="AD29" s="44"/>
      <c r="AE29" s="50"/>
      <c r="AF29" s="46" t="s">
        <v>58</v>
      </c>
      <c r="AG29" s="49"/>
      <c r="AH29" s="51"/>
    </row>
    <row r="30" spans="1:34" hidden="1" x14ac:dyDescent="0.25">
      <c r="A30" s="35" t="s">
        <v>61</v>
      </c>
      <c r="B30" s="36">
        <v>5.25</v>
      </c>
      <c r="C30" s="37">
        <v>26</v>
      </c>
      <c r="D30" s="36">
        <v>6</v>
      </c>
      <c r="E30" s="36">
        <v>0</v>
      </c>
      <c r="F30" s="36">
        <v>6</v>
      </c>
      <c r="G30" s="38"/>
      <c r="H30" s="39"/>
      <c r="I30" s="39"/>
      <c r="J30" s="40"/>
      <c r="K30" s="40"/>
      <c r="L30" s="40"/>
      <c r="M30" s="41">
        <v>3.5</v>
      </c>
      <c r="N30" s="36">
        <v>0</v>
      </c>
      <c r="O30" s="36">
        <v>3.5</v>
      </c>
      <c r="P30" s="36">
        <v>3.5</v>
      </c>
      <c r="Q30" s="36">
        <v>3.5000000000000004</v>
      </c>
      <c r="R30" s="36">
        <v>3.5</v>
      </c>
      <c r="S30" s="36">
        <v>0</v>
      </c>
      <c r="T30" s="36">
        <v>0</v>
      </c>
      <c r="U30" s="36">
        <v>0</v>
      </c>
      <c r="V30" s="42"/>
      <c r="W30" s="43"/>
      <c r="X30" s="43"/>
      <c r="Y30" s="44"/>
      <c r="Z30" s="44"/>
      <c r="AA30" s="44"/>
      <c r="AB30" s="44"/>
      <c r="AC30" s="44"/>
      <c r="AD30" s="44"/>
      <c r="AE30" s="50"/>
      <c r="AF30" s="46" t="s">
        <v>58</v>
      </c>
      <c r="AG30" s="49"/>
      <c r="AH30" s="51"/>
    </row>
    <row r="31" spans="1:34" x14ac:dyDescent="0.25">
      <c r="A31" s="52" t="s">
        <v>62</v>
      </c>
      <c r="B31" s="36">
        <v>11.34</v>
      </c>
      <c r="C31" s="37">
        <v>26</v>
      </c>
      <c r="D31" s="36">
        <v>44.82</v>
      </c>
      <c r="E31" s="36">
        <v>2.6</v>
      </c>
      <c r="F31" s="36">
        <v>43.65</v>
      </c>
      <c r="G31" s="38">
        <v>925.4</v>
      </c>
      <c r="H31" s="39">
        <v>1.131</v>
      </c>
      <c r="I31" s="39">
        <v>1.2221741949427276</v>
      </c>
      <c r="J31" s="40">
        <v>10516</v>
      </c>
      <c r="K31" s="40">
        <v>9420</v>
      </c>
      <c r="L31" s="40">
        <v>8715</v>
      </c>
      <c r="M31" s="41">
        <v>4.1269999999999998</v>
      </c>
      <c r="N31" s="36">
        <v>102.69055155139424</v>
      </c>
      <c r="O31" s="36">
        <v>12.796815305813668</v>
      </c>
      <c r="P31" s="36">
        <v>15.326762375323259</v>
      </c>
      <c r="Q31" s="36">
        <v>15.353850952013726</v>
      </c>
      <c r="R31" s="36">
        <v>15.410471491901584</v>
      </c>
      <c r="S31" s="36">
        <v>9.1638020354766958</v>
      </c>
      <c r="T31" s="36">
        <v>9.1859662873505759</v>
      </c>
      <c r="U31" s="36">
        <v>9.2322940040722585</v>
      </c>
      <c r="V31" s="42">
        <f>+V26</f>
        <v>0.5</v>
      </c>
      <c r="W31" s="43">
        <f t="shared" ref="W31:X31" si="11">+W26</f>
        <v>0.75</v>
      </c>
      <c r="X31" s="43">
        <f t="shared" si="11"/>
        <v>1</v>
      </c>
      <c r="Y31" s="44">
        <f t="shared" si="9"/>
        <v>10516</v>
      </c>
      <c r="Z31" s="44">
        <f t="shared" si="1"/>
        <v>9420</v>
      </c>
      <c r="AA31" s="44">
        <f t="shared" si="1"/>
        <v>8715</v>
      </c>
      <c r="AB31" s="44">
        <f t="shared" si="3"/>
        <v>12251.833333333334</v>
      </c>
      <c r="AC31" s="44">
        <f t="shared" si="4"/>
        <v>-3601.9999999999995</v>
      </c>
      <c r="AD31" s="44">
        <f t="shared" si="5"/>
        <v>8958.5761904761912</v>
      </c>
      <c r="AE31" s="45">
        <f t="shared" ref="AE31:AE70" si="12">3412/AD31</f>
        <v>0.38086409351826206</v>
      </c>
      <c r="AF31" s="46" t="str">
        <f>+AF26</f>
        <v>Gas Natural</v>
      </c>
      <c r="AG31" s="49">
        <f>+AG26</f>
        <v>54.3</v>
      </c>
      <c r="AH31" s="48">
        <f t="shared" ref="AH31:AH70" si="13">((AG31*3.6)/1000)/AE31</f>
        <v>0.51325394891977894</v>
      </c>
    </row>
    <row r="32" spans="1:34" x14ac:dyDescent="0.25">
      <c r="A32" s="52" t="s">
        <v>63</v>
      </c>
      <c r="B32" s="36">
        <v>13.35</v>
      </c>
      <c r="C32" s="37">
        <v>26</v>
      </c>
      <c r="D32" s="36">
        <v>44.82</v>
      </c>
      <c r="E32" s="36">
        <v>2.6</v>
      </c>
      <c r="F32" s="36">
        <v>43.65</v>
      </c>
      <c r="G32" s="38">
        <v>925.4</v>
      </c>
      <c r="H32" s="39">
        <v>1.131</v>
      </c>
      <c r="I32" s="39">
        <v>1.2221741949427276</v>
      </c>
      <c r="J32" s="40">
        <v>10516</v>
      </c>
      <c r="K32" s="40">
        <v>9420</v>
      </c>
      <c r="L32" s="40">
        <v>8715</v>
      </c>
      <c r="M32" s="41">
        <v>4.1269999999999998</v>
      </c>
      <c r="N32" s="36">
        <v>102.69055155139424</v>
      </c>
      <c r="O32" s="36">
        <v>12.796815305813668</v>
      </c>
      <c r="P32" s="36">
        <v>15.326762375323259</v>
      </c>
      <c r="Q32" s="36">
        <v>15.353850952013726</v>
      </c>
      <c r="R32" s="36">
        <v>15.410471491901584</v>
      </c>
      <c r="S32" s="36">
        <v>9.1638020354766958</v>
      </c>
      <c r="T32" s="36">
        <v>9.1859662873505759</v>
      </c>
      <c r="U32" s="36">
        <v>9.2322940040722585</v>
      </c>
      <c r="V32" s="42">
        <f t="shared" si="8"/>
        <v>0.5</v>
      </c>
      <c r="W32" s="43">
        <f t="shared" si="2"/>
        <v>0.75</v>
      </c>
      <c r="X32" s="43">
        <f t="shared" si="2"/>
        <v>1</v>
      </c>
      <c r="Y32" s="44">
        <f t="shared" si="9"/>
        <v>10516</v>
      </c>
      <c r="Z32" s="44">
        <f t="shared" si="9"/>
        <v>9420</v>
      </c>
      <c r="AA32" s="44">
        <f t="shared" si="9"/>
        <v>8715</v>
      </c>
      <c r="AB32" s="44">
        <f t="shared" si="3"/>
        <v>12251.833333333334</v>
      </c>
      <c r="AC32" s="44">
        <f t="shared" si="4"/>
        <v>-3601.9999999999995</v>
      </c>
      <c r="AD32" s="44">
        <f t="shared" si="5"/>
        <v>8958.5761904761912</v>
      </c>
      <c r="AE32" s="45">
        <f t="shared" si="12"/>
        <v>0.38086409351826206</v>
      </c>
      <c r="AF32" s="46" t="str">
        <f>+AF31</f>
        <v>Gas Natural</v>
      </c>
      <c r="AG32" s="49">
        <f t="shared" ref="AG32:AG69" si="14">+AG31</f>
        <v>54.3</v>
      </c>
      <c r="AH32" s="48">
        <f t="shared" si="13"/>
        <v>0.51325394891977894</v>
      </c>
    </row>
    <row r="33" spans="1:37" x14ac:dyDescent="0.25">
      <c r="A33" s="35" t="s">
        <v>64</v>
      </c>
      <c r="B33" s="36">
        <v>4.74</v>
      </c>
      <c r="C33" s="37">
        <v>26</v>
      </c>
      <c r="D33" s="36">
        <v>49.02</v>
      </c>
      <c r="E33" s="36">
        <v>2.6</v>
      </c>
      <c r="F33" s="36">
        <v>47.75</v>
      </c>
      <c r="G33" s="38">
        <v>925.4</v>
      </c>
      <c r="H33" s="39">
        <v>1.131</v>
      </c>
      <c r="I33" s="39">
        <v>1.2221741949427276</v>
      </c>
      <c r="J33" s="40">
        <v>10179</v>
      </c>
      <c r="K33" s="40">
        <v>9015</v>
      </c>
      <c r="L33" s="40">
        <v>8535</v>
      </c>
      <c r="M33" s="41">
        <v>4.1269999999999998</v>
      </c>
      <c r="N33" s="36">
        <v>100.00951712690672</v>
      </c>
      <c r="O33" s="36">
        <v>12.767974439161463</v>
      </c>
      <c r="P33" s="36">
        <v>15.019933843054883</v>
      </c>
      <c r="Q33" s="36">
        <v>15.044539818786019</v>
      </c>
      <c r="R33" s="36">
        <v>15.094859435134167</v>
      </c>
      <c r="S33" s="36">
        <v>8.9127506439991055</v>
      </c>
      <c r="T33" s="36">
        <v>8.9328835970862777</v>
      </c>
      <c r="U33" s="36">
        <v>8.9740558101442574</v>
      </c>
      <c r="V33" s="42">
        <f t="shared" si="8"/>
        <v>0.5</v>
      </c>
      <c r="W33" s="43">
        <f t="shared" si="8"/>
        <v>0.75</v>
      </c>
      <c r="X33" s="43">
        <f t="shared" si="8"/>
        <v>1</v>
      </c>
      <c r="Y33" s="44">
        <f t="shared" si="9"/>
        <v>10179</v>
      </c>
      <c r="Z33" s="44">
        <f t="shared" si="9"/>
        <v>9015</v>
      </c>
      <c r="AA33" s="44">
        <f t="shared" si="9"/>
        <v>8535</v>
      </c>
      <c r="AB33" s="44">
        <f t="shared" si="3"/>
        <v>11709</v>
      </c>
      <c r="AC33" s="44">
        <f t="shared" si="4"/>
        <v>-3288</v>
      </c>
      <c r="AD33" s="44">
        <f t="shared" si="5"/>
        <v>8702.8285714285721</v>
      </c>
      <c r="AE33" s="45">
        <f t="shared" si="12"/>
        <v>0.39205644141970258</v>
      </c>
      <c r="AF33" s="46" t="str">
        <f t="shared" ref="AF33:AF69" si="15">+AF32</f>
        <v>Gas Natural</v>
      </c>
      <c r="AG33" s="49">
        <f t="shared" si="14"/>
        <v>54.3</v>
      </c>
      <c r="AH33" s="48">
        <f t="shared" si="13"/>
        <v>0.498601679115726</v>
      </c>
    </row>
    <row r="34" spans="1:37" x14ac:dyDescent="0.25">
      <c r="A34" s="35" t="s">
        <v>65</v>
      </c>
      <c r="B34" s="36">
        <v>1.38</v>
      </c>
      <c r="C34" s="37">
        <v>26</v>
      </c>
      <c r="D34" s="36">
        <v>53.65</v>
      </c>
      <c r="E34" s="36">
        <v>2.5</v>
      </c>
      <c r="F34" s="36">
        <v>52.309999999999995</v>
      </c>
      <c r="G34" s="38">
        <v>929.5</v>
      </c>
      <c r="H34" s="39">
        <v>1.131</v>
      </c>
      <c r="I34" s="39">
        <v>1.2167832167832169</v>
      </c>
      <c r="J34" s="40">
        <v>11489</v>
      </c>
      <c r="K34" s="40">
        <v>10175</v>
      </c>
      <c r="L34" s="40">
        <v>9745</v>
      </c>
      <c r="M34" s="41">
        <v>3.0150000000000001</v>
      </c>
      <c r="N34" s="36">
        <v>114.1637577709795</v>
      </c>
      <c r="O34" s="36">
        <v>12.993869580419576</v>
      </c>
      <c r="P34" s="36">
        <v>15.340503861426347</v>
      </c>
      <c r="Q34" s="36">
        <v>15.365857067869804</v>
      </c>
      <c r="R34" s="36">
        <v>15.418758233159156</v>
      </c>
      <c r="S34" s="36">
        <v>10.129580759677975</v>
      </c>
      <c r="T34" s="36">
        <v>10.150417015548172</v>
      </c>
      <c r="U34" s="36">
        <v>10.193893260584822</v>
      </c>
      <c r="V34" s="42">
        <f t="shared" ref="V34:X49" si="16">+V33</f>
        <v>0.5</v>
      </c>
      <c r="W34" s="43">
        <f t="shared" si="16"/>
        <v>0.75</v>
      </c>
      <c r="X34" s="43">
        <f t="shared" si="16"/>
        <v>1</v>
      </c>
      <c r="Y34" s="44">
        <f t="shared" si="9"/>
        <v>11489</v>
      </c>
      <c r="Z34" s="44">
        <f t="shared" si="9"/>
        <v>10175</v>
      </c>
      <c r="AA34" s="44">
        <f t="shared" si="9"/>
        <v>9745</v>
      </c>
      <c r="AB34" s="44">
        <f t="shared" si="3"/>
        <v>13085.666666666668</v>
      </c>
      <c r="AC34" s="44">
        <f t="shared" si="4"/>
        <v>-3488.0000000000009</v>
      </c>
      <c r="AD34" s="44">
        <f t="shared" si="5"/>
        <v>9896.638095238095</v>
      </c>
      <c r="AE34" s="45">
        <f t="shared" si="12"/>
        <v>0.34476354163559153</v>
      </c>
      <c r="AF34" s="46" t="str">
        <f t="shared" si="15"/>
        <v>Gas Natural</v>
      </c>
      <c r="AG34" s="49">
        <f t="shared" si="14"/>
        <v>54.3</v>
      </c>
      <c r="AH34" s="48">
        <f t="shared" si="13"/>
        <v>0.56699730798861159</v>
      </c>
    </row>
    <row r="35" spans="1:37" x14ac:dyDescent="0.25">
      <c r="A35" s="35" t="s">
        <v>66</v>
      </c>
      <c r="B35" s="36">
        <v>2.85</v>
      </c>
      <c r="C35" s="37">
        <v>26</v>
      </c>
      <c r="D35" s="36">
        <v>55.39</v>
      </c>
      <c r="E35" s="36">
        <v>2.5</v>
      </c>
      <c r="F35" s="36">
        <v>54.01</v>
      </c>
      <c r="G35" s="38">
        <v>929.5</v>
      </c>
      <c r="H35" s="39">
        <v>1.131</v>
      </c>
      <c r="I35" s="39">
        <v>1.2167832167832169</v>
      </c>
      <c r="J35" s="40">
        <v>11482</v>
      </c>
      <c r="K35" s="40">
        <v>10271</v>
      </c>
      <c r="L35" s="40">
        <v>9933</v>
      </c>
      <c r="M35" s="41">
        <v>3.0150000000000001</v>
      </c>
      <c r="N35" s="36">
        <v>103.92895905856406</v>
      </c>
      <c r="O35" s="36">
        <v>13.471548251748258</v>
      </c>
      <c r="P35" s="36">
        <v>15.540609750027455</v>
      </c>
      <c r="Q35" s="36">
        <v>15.563095022900685</v>
      </c>
      <c r="R35" s="36">
        <v>15.609564278462186</v>
      </c>
      <c r="S35" s="36">
        <v>10.294035599160493</v>
      </c>
      <c r="T35" s="36">
        <v>10.312514875142515</v>
      </c>
      <c r="U35" s="36">
        <v>10.350705125402829</v>
      </c>
      <c r="V35" s="42">
        <f t="shared" si="16"/>
        <v>0.5</v>
      </c>
      <c r="W35" s="43">
        <f t="shared" si="16"/>
        <v>0.75</v>
      </c>
      <c r="X35" s="43">
        <f t="shared" si="16"/>
        <v>1</v>
      </c>
      <c r="Y35" s="44">
        <f t="shared" si="9"/>
        <v>11482</v>
      </c>
      <c r="Z35" s="44">
        <f t="shared" si="9"/>
        <v>10271</v>
      </c>
      <c r="AA35" s="44">
        <f t="shared" si="9"/>
        <v>9933</v>
      </c>
      <c r="AB35" s="44">
        <f t="shared" si="3"/>
        <v>12885.5</v>
      </c>
      <c r="AC35" s="44">
        <f t="shared" si="4"/>
        <v>-3097.9999999999995</v>
      </c>
      <c r="AD35" s="44">
        <f t="shared" si="5"/>
        <v>10053.042857142857</v>
      </c>
      <c r="AE35" s="45">
        <f t="shared" si="12"/>
        <v>0.33939972687729231</v>
      </c>
      <c r="AF35" s="46" t="str">
        <f t="shared" si="15"/>
        <v>Gas Natural</v>
      </c>
      <c r="AG35" s="49">
        <f t="shared" si="14"/>
        <v>54.3</v>
      </c>
      <c r="AH35" s="48">
        <f t="shared" si="13"/>
        <v>0.57595803567241666</v>
      </c>
      <c r="AK35" s="53"/>
    </row>
    <row r="36" spans="1:37" x14ac:dyDescent="0.25">
      <c r="A36" s="35" t="s">
        <v>67</v>
      </c>
      <c r="B36" s="36">
        <v>5.07</v>
      </c>
      <c r="C36" s="37">
        <v>26</v>
      </c>
      <c r="D36" s="36">
        <v>24.32</v>
      </c>
      <c r="E36" s="36">
        <v>2.5</v>
      </c>
      <c r="F36" s="36">
        <v>23.71</v>
      </c>
      <c r="G36" s="38">
        <v>929.5</v>
      </c>
      <c r="H36" s="39">
        <v>1.131</v>
      </c>
      <c r="I36" s="39">
        <v>1.2167832167832169</v>
      </c>
      <c r="J36" s="40">
        <v>11619</v>
      </c>
      <c r="K36" s="40">
        <v>10356</v>
      </c>
      <c r="L36" s="40">
        <v>9749</v>
      </c>
      <c r="M36" s="41">
        <v>5.25</v>
      </c>
      <c r="N36" s="36">
        <v>56.596932139860193</v>
      </c>
      <c r="O36" s="36">
        <v>15.076710839160805</v>
      </c>
      <c r="P36" s="36">
        <v>17.643465131217958</v>
      </c>
      <c r="Q36" s="36">
        <v>17.67171002026398</v>
      </c>
      <c r="R36" s="36">
        <v>17.728863235592865</v>
      </c>
      <c r="S36" s="36">
        <v>10.18543398715039</v>
      </c>
      <c r="T36" s="36">
        <v>10.208646740791661</v>
      </c>
      <c r="U36" s="36">
        <v>10.255617486722871</v>
      </c>
      <c r="V36" s="42">
        <f t="shared" si="16"/>
        <v>0.5</v>
      </c>
      <c r="W36" s="43">
        <f t="shared" si="16"/>
        <v>0.75</v>
      </c>
      <c r="X36" s="43">
        <f t="shared" si="16"/>
        <v>1</v>
      </c>
      <c r="Y36" s="44">
        <f t="shared" si="9"/>
        <v>11619</v>
      </c>
      <c r="Z36" s="44">
        <f t="shared" si="9"/>
        <v>10356</v>
      </c>
      <c r="AA36" s="44">
        <f t="shared" si="9"/>
        <v>9749</v>
      </c>
      <c r="AB36" s="44">
        <f t="shared" si="3"/>
        <v>13379.666666666664</v>
      </c>
      <c r="AC36" s="44">
        <f t="shared" si="4"/>
        <v>-3739.9999999999991</v>
      </c>
      <c r="AD36" s="44">
        <f t="shared" si="5"/>
        <v>9960.2380952380936</v>
      </c>
      <c r="AE36" s="45">
        <f>3412/AD36</f>
        <v>0.34256209212822419</v>
      </c>
      <c r="AF36" s="46" t="str">
        <f t="shared" si="15"/>
        <v>Gas Natural</v>
      </c>
      <c r="AG36" s="49">
        <f t="shared" si="14"/>
        <v>54.3</v>
      </c>
      <c r="AH36" s="48">
        <f t="shared" si="13"/>
        <v>0.57064107352202298</v>
      </c>
      <c r="AK36" s="53"/>
    </row>
    <row r="37" spans="1:37" x14ac:dyDescent="0.25">
      <c r="A37" s="35" t="s">
        <v>68</v>
      </c>
      <c r="B37" s="36">
        <v>8.9700000000000006</v>
      </c>
      <c r="C37" s="37">
        <v>18</v>
      </c>
      <c r="D37" s="36">
        <v>18.52</v>
      </c>
      <c r="E37" s="36">
        <v>0.7</v>
      </c>
      <c r="F37" s="36">
        <v>18.39</v>
      </c>
      <c r="G37" s="38">
        <v>929.9</v>
      </c>
      <c r="H37" s="39">
        <v>1.131</v>
      </c>
      <c r="I37" s="39">
        <v>1.2162598128831057</v>
      </c>
      <c r="J37" s="40">
        <v>14467</v>
      </c>
      <c r="K37" s="40">
        <v>12428</v>
      </c>
      <c r="L37" s="40">
        <v>11519</v>
      </c>
      <c r="M37" s="41">
        <v>2.1680000000000001</v>
      </c>
      <c r="N37" s="36">
        <v>66.451175264383068</v>
      </c>
      <c r="O37" s="36">
        <v>12.665534796214665</v>
      </c>
      <c r="P37" s="36">
        <v>16.551568437406658</v>
      </c>
      <c r="Q37" s="36">
        <v>16.592909220823593</v>
      </c>
      <c r="R37" s="36">
        <v>16.680711549349596</v>
      </c>
      <c r="S37" s="36">
        <v>11.826065685185192</v>
      </c>
      <c r="T37" s="36">
        <v>11.860055777580778</v>
      </c>
      <c r="U37" s="36">
        <v>11.932246215508567</v>
      </c>
      <c r="V37" s="42">
        <f t="shared" si="16"/>
        <v>0.5</v>
      </c>
      <c r="W37" s="43">
        <f t="shared" si="16"/>
        <v>0.75</v>
      </c>
      <c r="X37" s="43">
        <f t="shared" si="16"/>
        <v>1</v>
      </c>
      <c r="Y37" s="44">
        <f t="shared" si="9"/>
        <v>14467</v>
      </c>
      <c r="Z37" s="44">
        <f t="shared" si="9"/>
        <v>12428</v>
      </c>
      <c r="AA37" s="44">
        <f t="shared" si="9"/>
        <v>11519</v>
      </c>
      <c r="AB37" s="44">
        <f t="shared" si="3"/>
        <v>17226.666666666664</v>
      </c>
      <c r="AC37" s="44">
        <f t="shared" si="4"/>
        <v>-5896</v>
      </c>
      <c r="AD37" s="44">
        <f t="shared" si="5"/>
        <v>11836.038095238093</v>
      </c>
      <c r="AE37" s="45">
        <f t="shared" si="12"/>
        <v>0.28827213739475249</v>
      </c>
      <c r="AF37" s="46" t="str">
        <f t="shared" si="15"/>
        <v>Gas Natural</v>
      </c>
      <c r="AG37" s="49">
        <f t="shared" si="14"/>
        <v>54.3</v>
      </c>
      <c r="AH37" s="48">
        <f t="shared" si="13"/>
        <v>0.67810923999330075</v>
      </c>
    </row>
    <row r="38" spans="1:37" x14ac:dyDescent="0.25">
      <c r="A38" s="35" t="s">
        <v>69</v>
      </c>
      <c r="B38" s="36">
        <v>0.52</v>
      </c>
      <c r="C38" s="37">
        <v>18</v>
      </c>
      <c r="D38" s="36">
        <v>18.809999999999999</v>
      </c>
      <c r="E38" s="36">
        <v>0.7</v>
      </c>
      <c r="F38" s="36">
        <v>18.68</v>
      </c>
      <c r="G38" s="38">
        <v>929.9</v>
      </c>
      <c r="H38" s="39">
        <v>1.131</v>
      </c>
      <c r="I38" s="39">
        <v>1.2162598128831057</v>
      </c>
      <c r="J38" s="40">
        <v>14152</v>
      </c>
      <c r="K38" s="40">
        <v>12315</v>
      </c>
      <c r="L38" s="40">
        <v>11560</v>
      </c>
      <c r="M38" s="41">
        <v>1.2669999999999999</v>
      </c>
      <c r="N38" s="36">
        <v>59.086690007374955</v>
      </c>
      <c r="O38" s="36">
        <v>12.250769927949188</v>
      </c>
      <c r="P38" s="36">
        <v>15.65242162670422</v>
      </c>
      <c r="Q38" s="36">
        <v>15.688041016219984</v>
      </c>
      <c r="R38" s="36">
        <v>15.765742563724023</v>
      </c>
      <c r="S38" s="36">
        <v>11.827589363989615</v>
      </c>
      <c r="T38" s="36">
        <v>11.856875367801029</v>
      </c>
      <c r="U38" s="36">
        <v>11.920761016805455</v>
      </c>
      <c r="V38" s="42">
        <f t="shared" si="16"/>
        <v>0.5</v>
      </c>
      <c r="W38" s="43">
        <f t="shared" si="16"/>
        <v>0.75</v>
      </c>
      <c r="X38" s="43">
        <f t="shared" si="16"/>
        <v>1</v>
      </c>
      <c r="Y38" s="44">
        <f t="shared" si="9"/>
        <v>14152</v>
      </c>
      <c r="Z38" s="44">
        <f t="shared" si="9"/>
        <v>12315</v>
      </c>
      <c r="AA38" s="44">
        <f t="shared" si="9"/>
        <v>11560</v>
      </c>
      <c r="AB38" s="44">
        <f t="shared" si="3"/>
        <v>16563.666666666664</v>
      </c>
      <c r="AC38" s="44">
        <f t="shared" si="4"/>
        <v>-5184</v>
      </c>
      <c r="AD38" s="44">
        <f t="shared" si="5"/>
        <v>11824.009523809522</v>
      </c>
      <c r="AE38" s="45">
        <f t="shared" si="12"/>
        <v>0.28856539679957088</v>
      </c>
      <c r="AF38" s="46" t="str">
        <f t="shared" si="15"/>
        <v>Gas Natural</v>
      </c>
      <c r="AG38" s="49">
        <f t="shared" si="14"/>
        <v>54.3</v>
      </c>
      <c r="AH38" s="48">
        <f t="shared" si="13"/>
        <v>0.6774201001507284</v>
      </c>
      <c r="AK38" s="53"/>
    </row>
    <row r="39" spans="1:37" x14ac:dyDescent="0.25">
      <c r="A39" s="35" t="s">
        <v>70</v>
      </c>
      <c r="B39" s="36">
        <v>10.65</v>
      </c>
      <c r="C39" s="37">
        <v>18</v>
      </c>
      <c r="D39" s="36">
        <v>18.32</v>
      </c>
      <c r="E39" s="36">
        <v>0.7</v>
      </c>
      <c r="F39" s="36">
        <v>18.190000000000001</v>
      </c>
      <c r="G39" s="38">
        <v>929.9</v>
      </c>
      <c r="H39" s="39">
        <v>1.131</v>
      </c>
      <c r="I39" s="39">
        <v>1.2162598128831057</v>
      </c>
      <c r="J39" s="40">
        <v>14815</v>
      </c>
      <c r="K39" s="40">
        <v>12533</v>
      </c>
      <c r="L39" s="40">
        <v>11435</v>
      </c>
      <c r="M39" s="41">
        <v>1.2669999999999999</v>
      </c>
      <c r="N39" s="36">
        <v>75.679138292160417</v>
      </c>
      <c r="O39" s="36">
        <v>11.13255160232278</v>
      </c>
      <c r="P39" s="36">
        <v>15.605313912734152</v>
      </c>
      <c r="Q39" s="36">
        <v>15.656110376510492</v>
      </c>
      <c r="R39" s="36">
        <v>15.755589983028976</v>
      </c>
      <c r="S39" s="36">
        <v>11.788857743104764</v>
      </c>
      <c r="T39" s="36">
        <v>11.830622227336081</v>
      </c>
      <c r="U39" s="36">
        <v>11.912413638566441</v>
      </c>
      <c r="V39" s="42">
        <f t="shared" si="16"/>
        <v>0.5</v>
      </c>
      <c r="W39" s="43">
        <f t="shared" si="16"/>
        <v>0.75</v>
      </c>
      <c r="X39" s="43">
        <f t="shared" si="16"/>
        <v>1</v>
      </c>
      <c r="Y39" s="44">
        <f t="shared" si="9"/>
        <v>14815</v>
      </c>
      <c r="Z39" s="44">
        <f t="shared" si="9"/>
        <v>12533</v>
      </c>
      <c r="AA39" s="44">
        <f t="shared" si="9"/>
        <v>11435</v>
      </c>
      <c r="AB39" s="44">
        <f t="shared" si="3"/>
        <v>17997.666666666664</v>
      </c>
      <c r="AC39" s="44">
        <f t="shared" si="4"/>
        <v>-6760</v>
      </c>
      <c r="AD39" s="44">
        <f t="shared" si="5"/>
        <v>11817.095238095237</v>
      </c>
      <c r="AE39" s="45">
        <f t="shared" si="12"/>
        <v>0.28873423893552119</v>
      </c>
      <c r="AF39" s="46" t="str">
        <f t="shared" si="15"/>
        <v>Gas Natural</v>
      </c>
      <c r="AG39" s="49">
        <f t="shared" si="14"/>
        <v>54.3</v>
      </c>
      <c r="AH39" s="48">
        <f t="shared" si="13"/>
        <v>0.67702396750962979</v>
      </c>
      <c r="AK39" s="53"/>
    </row>
    <row r="40" spans="1:37" x14ac:dyDescent="0.25">
      <c r="A40" s="35" t="s">
        <v>71</v>
      </c>
      <c r="B40" s="36">
        <v>2.0099999999999998</v>
      </c>
      <c r="C40" s="37">
        <v>18</v>
      </c>
      <c r="D40" s="36">
        <v>18.63</v>
      </c>
      <c r="E40" s="36">
        <v>0.7</v>
      </c>
      <c r="F40" s="36">
        <v>18.5</v>
      </c>
      <c r="G40" s="38">
        <v>929.9</v>
      </c>
      <c r="H40" s="39">
        <v>1.131</v>
      </c>
      <c r="I40" s="39">
        <v>1.2162598128831057</v>
      </c>
      <c r="J40" s="40">
        <v>14044</v>
      </c>
      <c r="K40" s="40">
        <v>12173</v>
      </c>
      <c r="L40" s="40">
        <v>11383</v>
      </c>
      <c r="M40" s="41">
        <v>1.2669999999999999</v>
      </c>
      <c r="N40" s="36">
        <v>60.164129494938258</v>
      </c>
      <c r="O40" s="36">
        <v>11.949475614582198</v>
      </c>
      <c r="P40" s="36">
        <v>15.445357630557691</v>
      </c>
      <c r="Q40" s="36">
        <v>15.484383340489265</v>
      </c>
      <c r="R40" s="36">
        <v>15.562936845509421</v>
      </c>
      <c r="S40" s="36">
        <v>11.657342847617681</v>
      </c>
      <c r="T40" s="36">
        <v>11.689429503378397</v>
      </c>
      <c r="U40" s="36">
        <v>11.754015625675695</v>
      </c>
      <c r="V40" s="42">
        <f t="shared" si="16"/>
        <v>0.5</v>
      </c>
      <c r="W40" s="43">
        <f t="shared" si="16"/>
        <v>0.75</v>
      </c>
      <c r="X40" s="43">
        <f t="shared" si="16"/>
        <v>1</v>
      </c>
      <c r="Y40" s="44">
        <f t="shared" si="9"/>
        <v>14044</v>
      </c>
      <c r="Z40" s="44">
        <f t="shared" si="9"/>
        <v>12173</v>
      </c>
      <c r="AA40" s="44">
        <f t="shared" si="9"/>
        <v>11383</v>
      </c>
      <c r="AB40" s="44">
        <f t="shared" si="3"/>
        <v>16524.833333333336</v>
      </c>
      <c r="AC40" s="44">
        <f t="shared" si="4"/>
        <v>-5322.0000000000009</v>
      </c>
      <c r="AD40" s="44">
        <f t="shared" si="5"/>
        <v>11659.004761904764</v>
      </c>
      <c r="AE40" s="45">
        <f t="shared" si="12"/>
        <v>0.292649335829122</v>
      </c>
      <c r="AF40" s="46" t="str">
        <f t="shared" si="15"/>
        <v>Gas Natural</v>
      </c>
      <c r="AG40" s="49">
        <f t="shared" si="14"/>
        <v>54.3</v>
      </c>
      <c r="AH40" s="48">
        <f t="shared" si="13"/>
        <v>0.66796666203316035</v>
      </c>
      <c r="AK40" s="53"/>
    </row>
    <row r="41" spans="1:37" x14ac:dyDescent="0.25">
      <c r="A41" s="54" t="s">
        <v>72</v>
      </c>
      <c r="B41" s="36">
        <v>2.66</v>
      </c>
      <c r="C41" s="37">
        <v>18</v>
      </c>
      <c r="D41" s="36">
        <v>10.58</v>
      </c>
      <c r="E41" s="36">
        <v>0.7</v>
      </c>
      <c r="F41" s="55">
        <v>10.51</v>
      </c>
      <c r="G41" s="38">
        <v>929.9</v>
      </c>
      <c r="H41" s="39">
        <v>1.131</v>
      </c>
      <c r="I41" s="56">
        <v>1.2162598128831057</v>
      </c>
      <c r="J41" s="57">
        <v>12381</v>
      </c>
      <c r="K41" s="57">
        <v>10642</v>
      </c>
      <c r="L41" s="57">
        <v>9861</v>
      </c>
      <c r="M41" s="41">
        <v>8.1289999999999996</v>
      </c>
      <c r="N41" s="36">
        <v>32.463292606479413</v>
      </c>
      <c r="O41" s="36">
        <v>17.120063229379483</v>
      </c>
      <c r="P41" s="36">
        <v>20.442815799131722</v>
      </c>
      <c r="Q41" s="36">
        <v>20.477177252800313</v>
      </c>
      <c r="R41" s="36">
        <v>20.551700925624662</v>
      </c>
      <c r="S41" s="36">
        <v>10.124330072159673</v>
      </c>
      <c r="T41" s="36">
        <v>10.152581810237853</v>
      </c>
      <c r="U41" s="36">
        <v>10.213854633720931</v>
      </c>
      <c r="V41" s="42">
        <f t="shared" si="16"/>
        <v>0.5</v>
      </c>
      <c r="W41" s="43">
        <f t="shared" si="16"/>
        <v>0.75</v>
      </c>
      <c r="X41" s="43">
        <f t="shared" si="16"/>
        <v>1</v>
      </c>
      <c r="Y41" s="44">
        <f t="shared" si="9"/>
        <v>12381</v>
      </c>
      <c r="Z41" s="44">
        <f t="shared" si="9"/>
        <v>10642</v>
      </c>
      <c r="AA41" s="44">
        <f t="shared" si="9"/>
        <v>9861</v>
      </c>
      <c r="AB41" s="44">
        <f t="shared" si="3"/>
        <v>14741.333333333334</v>
      </c>
      <c r="AC41" s="44">
        <f t="shared" si="4"/>
        <v>-5040</v>
      </c>
      <c r="AD41" s="44">
        <f t="shared" si="5"/>
        <v>10133.333333333334</v>
      </c>
      <c r="AE41" s="45">
        <f t="shared" si="12"/>
        <v>0.33671052631578946</v>
      </c>
      <c r="AF41" s="46" t="str">
        <f t="shared" si="15"/>
        <v>Gas Natural</v>
      </c>
      <c r="AG41" s="49">
        <f t="shared" si="14"/>
        <v>54.3</v>
      </c>
      <c r="AH41" s="48">
        <f t="shared" si="13"/>
        <v>0.58055803048065646</v>
      </c>
      <c r="AK41" s="53"/>
    </row>
    <row r="42" spans="1:37" x14ac:dyDescent="0.25">
      <c r="A42" s="54" t="s">
        <v>73</v>
      </c>
      <c r="B42" s="36">
        <v>3.27</v>
      </c>
      <c r="C42" s="37">
        <v>18</v>
      </c>
      <c r="D42" s="36">
        <v>10.58</v>
      </c>
      <c r="E42" s="36">
        <v>0.7</v>
      </c>
      <c r="F42" s="55">
        <v>10.51</v>
      </c>
      <c r="G42" s="38">
        <v>929.9</v>
      </c>
      <c r="H42" s="39">
        <v>1.131</v>
      </c>
      <c r="I42" s="56">
        <v>1.2162598128831057</v>
      </c>
      <c r="J42" s="57">
        <v>12381</v>
      </c>
      <c r="K42" s="57">
        <v>10642</v>
      </c>
      <c r="L42" s="57">
        <v>9861</v>
      </c>
      <c r="M42" s="41">
        <v>8.1289999999999996</v>
      </c>
      <c r="N42" s="36">
        <v>32.463292606479413</v>
      </c>
      <c r="O42" s="36">
        <v>17.120063229379483</v>
      </c>
      <c r="P42" s="36">
        <v>20.442815799131722</v>
      </c>
      <c r="Q42" s="36">
        <v>20.477177252800313</v>
      </c>
      <c r="R42" s="36">
        <v>20.551700925624662</v>
      </c>
      <c r="S42" s="36">
        <v>10.124330072159673</v>
      </c>
      <c r="T42" s="36">
        <v>10.152581810237853</v>
      </c>
      <c r="U42" s="36">
        <v>10.213854633720931</v>
      </c>
      <c r="V42" s="42">
        <f t="shared" si="16"/>
        <v>0.5</v>
      </c>
      <c r="W42" s="43">
        <f t="shared" si="16"/>
        <v>0.75</v>
      </c>
      <c r="X42" s="43">
        <f t="shared" si="16"/>
        <v>1</v>
      </c>
      <c r="Y42" s="44">
        <f t="shared" si="9"/>
        <v>12381</v>
      </c>
      <c r="Z42" s="44">
        <f t="shared" si="9"/>
        <v>10642</v>
      </c>
      <c r="AA42" s="44">
        <f t="shared" si="9"/>
        <v>9861</v>
      </c>
      <c r="AB42" s="44">
        <f t="shared" si="3"/>
        <v>14741.333333333334</v>
      </c>
      <c r="AC42" s="44">
        <f t="shared" si="4"/>
        <v>-5040</v>
      </c>
      <c r="AD42" s="44">
        <f t="shared" si="5"/>
        <v>10133.333333333334</v>
      </c>
      <c r="AE42" s="45">
        <f t="shared" si="12"/>
        <v>0.33671052631578946</v>
      </c>
      <c r="AF42" s="46" t="str">
        <f t="shared" si="15"/>
        <v>Gas Natural</v>
      </c>
      <c r="AG42" s="49">
        <f t="shared" si="14"/>
        <v>54.3</v>
      </c>
      <c r="AH42" s="48">
        <f t="shared" si="13"/>
        <v>0.58055803048065646</v>
      </c>
      <c r="AK42" s="53"/>
    </row>
    <row r="43" spans="1:37" x14ac:dyDescent="0.25">
      <c r="A43" s="54" t="s">
        <v>74</v>
      </c>
      <c r="B43" s="36">
        <v>2.59</v>
      </c>
      <c r="C43" s="37">
        <v>18</v>
      </c>
      <c r="D43" s="36">
        <v>10.58</v>
      </c>
      <c r="E43" s="36">
        <v>0.7</v>
      </c>
      <c r="F43" s="55">
        <v>10.51</v>
      </c>
      <c r="G43" s="38">
        <v>929.9</v>
      </c>
      <c r="H43" s="39">
        <v>1.131</v>
      </c>
      <c r="I43" s="56">
        <v>1.2162598128831057</v>
      </c>
      <c r="J43" s="57">
        <v>12381</v>
      </c>
      <c r="K43" s="57">
        <v>10642</v>
      </c>
      <c r="L43" s="57">
        <v>9861</v>
      </c>
      <c r="M43" s="41">
        <v>8.1289999999999996</v>
      </c>
      <c r="N43" s="36">
        <v>32.463292606479413</v>
      </c>
      <c r="O43" s="36">
        <v>17.120063229379483</v>
      </c>
      <c r="P43" s="36">
        <v>20.442815799131722</v>
      </c>
      <c r="Q43" s="36">
        <v>20.477177252800313</v>
      </c>
      <c r="R43" s="36">
        <v>20.551700925624662</v>
      </c>
      <c r="S43" s="36">
        <v>10.124330072159673</v>
      </c>
      <c r="T43" s="36">
        <v>10.152581810237853</v>
      </c>
      <c r="U43" s="36">
        <v>10.213854633720931</v>
      </c>
      <c r="V43" s="42">
        <f t="shared" si="16"/>
        <v>0.5</v>
      </c>
      <c r="W43" s="43">
        <f t="shared" si="16"/>
        <v>0.75</v>
      </c>
      <c r="X43" s="43">
        <f t="shared" si="16"/>
        <v>1</v>
      </c>
      <c r="Y43" s="44">
        <f t="shared" si="9"/>
        <v>12381</v>
      </c>
      <c r="Z43" s="44">
        <f t="shared" si="9"/>
        <v>10642</v>
      </c>
      <c r="AA43" s="44">
        <f t="shared" si="9"/>
        <v>9861</v>
      </c>
      <c r="AB43" s="44">
        <f t="shared" si="3"/>
        <v>14741.333333333334</v>
      </c>
      <c r="AC43" s="44">
        <f t="shared" si="4"/>
        <v>-5040</v>
      </c>
      <c r="AD43" s="44">
        <f t="shared" si="5"/>
        <v>10133.333333333334</v>
      </c>
      <c r="AE43" s="45">
        <f t="shared" si="12"/>
        <v>0.33671052631578946</v>
      </c>
      <c r="AF43" s="46" t="str">
        <f t="shared" si="15"/>
        <v>Gas Natural</v>
      </c>
      <c r="AG43" s="49">
        <f t="shared" si="14"/>
        <v>54.3</v>
      </c>
      <c r="AH43" s="48">
        <f t="shared" si="13"/>
        <v>0.58055803048065646</v>
      </c>
      <c r="AK43" s="53"/>
    </row>
    <row r="44" spans="1:37" x14ac:dyDescent="0.25">
      <c r="A44" s="54" t="s">
        <v>75</v>
      </c>
      <c r="B44" s="36">
        <v>2.89</v>
      </c>
      <c r="C44" s="37">
        <v>18</v>
      </c>
      <c r="D44" s="36">
        <v>10.58</v>
      </c>
      <c r="E44" s="36">
        <v>0.7</v>
      </c>
      <c r="F44" s="55">
        <v>10.51</v>
      </c>
      <c r="G44" s="38">
        <v>929.9</v>
      </c>
      <c r="H44" s="39">
        <v>1.131</v>
      </c>
      <c r="I44" s="56">
        <v>1.2162598128831057</v>
      </c>
      <c r="J44" s="57">
        <v>12381</v>
      </c>
      <c r="K44" s="57">
        <v>10642</v>
      </c>
      <c r="L44" s="57">
        <v>9861</v>
      </c>
      <c r="M44" s="41">
        <v>8.1289999999999996</v>
      </c>
      <c r="N44" s="36">
        <v>32.463292606479413</v>
      </c>
      <c r="O44" s="36">
        <v>17.120063229379483</v>
      </c>
      <c r="P44" s="36">
        <v>20.442815799131722</v>
      </c>
      <c r="Q44" s="36">
        <v>20.477177252800313</v>
      </c>
      <c r="R44" s="36">
        <v>20.551700925624662</v>
      </c>
      <c r="S44" s="36">
        <v>10.124330072159673</v>
      </c>
      <c r="T44" s="36">
        <v>10.152581810237853</v>
      </c>
      <c r="U44" s="36">
        <v>10.213854633720931</v>
      </c>
      <c r="V44" s="42">
        <f t="shared" si="16"/>
        <v>0.5</v>
      </c>
      <c r="W44" s="43">
        <f t="shared" si="16"/>
        <v>0.75</v>
      </c>
      <c r="X44" s="43">
        <f t="shared" si="16"/>
        <v>1</v>
      </c>
      <c r="Y44" s="44">
        <f t="shared" si="9"/>
        <v>12381</v>
      </c>
      <c r="Z44" s="44">
        <f t="shared" si="9"/>
        <v>10642</v>
      </c>
      <c r="AA44" s="44">
        <f t="shared" si="9"/>
        <v>9861</v>
      </c>
      <c r="AB44" s="44">
        <f t="shared" si="3"/>
        <v>14741.333333333334</v>
      </c>
      <c r="AC44" s="44">
        <f t="shared" si="4"/>
        <v>-5040</v>
      </c>
      <c r="AD44" s="44">
        <f t="shared" si="5"/>
        <v>10133.333333333334</v>
      </c>
      <c r="AE44" s="45">
        <f t="shared" si="12"/>
        <v>0.33671052631578946</v>
      </c>
      <c r="AF44" s="46" t="str">
        <f t="shared" si="15"/>
        <v>Gas Natural</v>
      </c>
      <c r="AG44" s="49">
        <f t="shared" si="14"/>
        <v>54.3</v>
      </c>
      <c r="AH44" s="48">
        <f t="shared" si="13"/>
        <v>0.58055803048065646</v>
      </c>
      <c r="AK44" s="53"/>
    </row>
    <row r="45" spans="1:37" x14ac:dyDescent="0.25">
      <c r="A45" s="35" t="s">
        <v>76</v>
      </c>
      <c r="B45" s="36">
        <v>0.28999999999999998</v>
      </c>
      <c r="C45" s="37">
        <v>15</v>
      </c>
      <c r="D45" s="36">
        <v>18.39</v>
      </c>
      <c r="E45" s="36">
        <v>2.9</v>
      </c>
      <c r="F45" s="36">
        <v>17.86</v>
      </c>
      <c r="G45" s="38">
        <v>965.4</v>
      </c>
      <c r="H45" s="39">
        <v>1.131</v>
      </c>
      <c r="I45" s="39">
        <v>1.1715351149782474</v>
      </c>
      <c r="J45" s="40">
        <v>14347</v>
      </c>
      <c r="K45" s="40">
        <v>12590</v>
      </c>
      <c r="L45" s="40">
        <v>11586</v>
      </c>
      <c r="M45" s="41">
        <v>1.389</v>
      </c>
      <c r="N45" s="36">
        <v>61.67320679620088</v>
      </c>
      <c r="O45" s="36">
        <v>12.027622513983841</v>
      </c>
      <c r="P45" s="36">
        <v>15.740639178414961</v>
      </c>
      <c r="Q45" s="36">
        <v>15.781317388980852</v>
      </c>
      <c r="R45" s="36">
        <v>15.865407628868775</v>
      </c>
      <c r="S45" s="36">
        <v>12.250285113034309</v>
      </c>
      <c r="T45" s="36">
        <v>12.285007256695062</v>
      </c>
      <c r="U45" s="36">
        <v>12.356785079495946</v>
      </c>
      <c r="V45" s="42">
        <f t="shared" si="16"/>
        <v>0.5</v>
      </c>
      <c r="W45" s="43">
        <f t="shared" si="16"/>
        <v>0.75</v>
      </c>
      <c r="X45" s="43">
        <f t="shared" si="16"/>
        <v>1</v>
      </c>
      <c r="Y45" s="44">
        <f t="shared" si="9"/>
        <v>14347</v>
      </c>
      <c r="Z45" s="44">
        <f t="shared" si="9"/>
        <v>12590</v>
      </c>
      <c r="AA45" s="44">
        <f t="shared" si="9"/>
        <v>11586</v>
      </c>
      <c r="AB45" s="44">
        <f t="shared" si="3"/>
        <v>16982.5</v>
      </c>
      <c r="AC45" s="44">
        <f t="shared" si="4"/>
        <v>-5522.0000000000009</v>
      </c>
      <c r="AD45" s="44">
        <f t="shared" si="5"/>
        <v>11933.814285714285</v>
      </c>
      <c r="AE45" s="45">
        <f t="shared" si="12"/>
        <v>0.28591026459029389</v>
      </c>
      <c r="AF45" s="46" t="str">
        <f t="shared" si="15"/>
        <v>Gas Natural</v>
      </c>
      <c r="AG45" s="49">
        <f t="shared" si="14"/>
        <v>54.3</v>
      </c>
      <c r="AH45" s="48">
        <f t="shared" si="13"/>
        <v>0.68371102478646772</v>
      </c>
      <c r="AK45" s="53"/>
    </row>
    <row r="46" spans="1:37" x14ac:dyDescent="0.25">
      <c r="A46" s="35" t="s">
        <v>77</v>
      </c>
      <c r="B46" s="36">
        <v>17.66</v>
      </c>
      <c r="C46" s="37">
        <v>15</v>
      </c>
      <c r="D46" s="36">
        <v>1.49</v>
      </c>
      <c r="E46" s="36">
        <v>2.9</v>
      </c>
      <c r="F46" s="36">
        <v>1.45</v>
      </c>
      <c r="G46" s="38">
        <v>965.4</v>
      </c>
      <c r="H46" s="39">
        <v>1.131</v>
      </c>
      <c r="I46" s="39">
        <v>1.1715351149782474</v>
      </c>
      <c r="J46" s="58">
        <v>10136</v>
      </c>
      <c r="K46" s="40">
        <v>9773</v>
      </c>
      <c r="L46" s="40">
        <v>9360</v>
      </c>
      <c r="M46" s="41">
        <v>15.452999999999999</v>
      </c>
      <c r="N46" s="36">
        <v>2.1127820878806856</v>
      </c>
      <c r="O46" s="36">
        <v>25.324131115599766</v>
      </c>
      <c r="P46" s="36">
        <v>26.889154884400273</v>
      </c>
      <c r="Q46" s="36">
        <v>26.912689076412313</v>
      </c>
      <c r="R46" s="36">
        <v>26.936941869707159</v>
      </c>
      <c r="S46" s="36">
        <v>9.7616834000000221</v>
      </c>
      <c r="T46" s="36">
        <v>9.7817717368421295</v>
      </c>
      <c r="U46" s="36">
        <v>9.8024734580152888</v>
      </c>
      <c r="V46" s="42">
        <v>0.6</v>
      </c>
      <c r="W46" s="43">
        <f t="shared" si="16"/>
        <v>0.75</v>
      </c>
      <c r="X46" s="43">
        <f t="shared" si="16"/>
        <v>1</v>
      </c>
      <c r="Y46" s="44">
        <f t="shared" si="9"/>
        <v>10136</v>
      </c>
      <c r="Z46" s="44">
        <f t="shared" si="9"/>
        <v>9773</v>
      </c>
      <c r="AA46" s="44">
        <f t="shared" si="9"/>
        <v>9360</v>
      </c>
      <c r="AB46" s="44">
        <f t="shared" si="3"/>
        <v>11252.979591836734</v>
      </c>
      <c r="AC46" s="44">
        <f t="shared" si="4"/>
        <v>-1910.612244897959</v>
      </c>
      <c r="AD46" s="44">
        <f t="shared" si="5"/>
        <v>9506.1341107871722</v>
      </c>
      <c r="AE46" s="45">
        <f t="shared" si="12"/>
        <v>0.3589261376113137</v>
      </c>
      <c r="AF46" s="46" t="str">
        <f t="shared" si="15"/>
        <v>Gas Natural</v>
      </c>
      <c r="AG46" s="49">
        <f t="shared" si="14"/>
        <v>54.3</v>
      </c>
      <c r="AH46" s="48">
        <f t="shared" si="13"/>
        <v>0.5446245885043014</v>
      </c>
    </row>
    <row r="47" spans="1:37" x14ac:dyDescent="0.25">
      <c r="A47" s="35" t="s">
        <v>78</v>
      </c>
      <c r="B47" s="36">
        <v>17.329999999999998</v>
      </c>
      <c r="C47" s="37">
        <v>15</v>
      </c>
      <c r="D47" s="36">
        <v>1.49</v>
      </c>
      <c r="E47" s="36">
        <v>2.9</v>
      </c>
      <c r="F47" s="36">
        <v>1.45</v>
      </c>
      <c r="G47" s="38">
        <v>965.4</v>
      </c>
      <c r="H47" s="39">
        <v>1.131</v>
      </c>
      <c r="I47" s="39">
        <v>1.1715351149782474</v>
      </c>
      <c r="J47" s="58">
        <v>10318</v>
      </c>
      <c r="K47" s="40">
        <v>9920</v>
      </c>
      <c r="L47" s="40">
        <v>9476</v>
      </c>
      <c r="M47" s="41">
        <v>15.452999999999999</v>
      </c>
      <c r="N47" s="36">
        <v>2.2888472618707425</v>
      </c>
      <c r="O47" s="36">
        <v>25.345362846488449</v>
      </c>
      <c r="P47" s="36">
        <v>27.040805262688998</v>
      </c>
      <c r="Q47" s="36">
        <v>27.066300637368705</v>
      </c>
      <c r="R47" s="36">
        <v>27.092574496771459</v>
      </c>
      <c r="S47" s="36">
        <v>9.8911292666666313</v>
      </c>
      <c r="T47" s="36">
        <v>9.912891631578912</v>
      </c>
      <c r="U47" s="36">
        <v>9.9353184961831715</v>
      </c>
      <c r="V47" s="42">
        <f t="shared" si="16"/>
        <v>0.6</v>
      </c>
      <c r="W47" s="43">
        <f t="shared" si="16"/>
        <v>0.75</v>
      </c>
      <c r="X47" s="43">
        <f t="shared" si="16"/>
        <v>1</v>
      </c>
      <c r="Y47" s="44">
        <f t="shared" si="9"/>
        <v>10318</v>
      </c>
      <c r="Z47" s="44">
        <f t="shared" si="9"/>
        <v>9920</v>
      </c>
      <c r="AA47" s="44">
        <f t="shared" si="9"/>
        <v>9476</v>
      </c>
      <c r="AB47" s="44">
        <f t="shared" si="3"/>
        <v>11527.285714285714</v>
      </c>
      <c r="AC47" s="44">
        <f t="shared" si="4"/>
        <v>-2071.4285714285706</v>
      </c>
      <c r="AD47" s="44">
        <f t="shared" si="5"/>
        <v>9633.4081632653069</v>
      </c>
      <c r="AE47" s="45">
        <f t="shared" si="12"/>
        <v>0.35418409997521377</v>
      </c>
      <c r="AF47" s="46" t="str">
        <f t="shared" si="15"/>
        <v>Gas Natural</v>
      </c>
      <c r="AG47" s="49">
        <f t="shared" si="14"/>
        <v>54.3</v>
      </c>
      <c r="AH47" s="48">
        <f t="shared" si="13"/>
        <v>0.55191636217910378</v>
      </c>
    </row>
    <row r="48" spans="1:37" x14ac:dyDescent="0.25">
      <c r="A48" s="35" t="s">
        <v>79</v>
      </c>
      <c r="B48" s="36">
        <v>21.3</v>
      </c>
      <c r="C48" s="37">
        <v>15</v>
      </c>
      <c r="D48" s="36">
        <v>1.6</v>
      </c>
      <c r="E48" s="36">
        <v>2.9</v>
      </c>
      <c r="F48" s="36">
        <v>1.55</v>
      </c>
      <c r="G48" s="38">
        <v>965.4</v>
      </c>
      <c r="H48" s="39">
        <v>1.131</v>
      </c>
      <c r="I48" s="39">
        <v>1.1715351149782474</v>
      </c>
      <c r="J48" s="40">
        <v>10004</v>
      </c>
      <c r="K48" s="40">
        <v>9154</v>
      </c>
      <c r="L48" s="40">
        <v>9050</v>
      </c>
      <c r="M48" s="41">
        <v>15.452999999999999</v>
      </c>
      <c r="N48" s="36">
        <v>1.7368982796768373</v>
      </c>
      <c r="O48" s="36">
        <v>25.21280599129895</v>
      </c>
      <c r="P48" s="36">
        <v>26.418985352185643</v>
      </c>
      <c r="Q48" s="36">
        <v>26.427420172891143</v>
      </c>
      <c r="R48" s="36">
        <v>26.453447619639547</v>
      </c>
      <c r="S48" s="36">
        <v>9.3603556666666847</v>
      </c>
      <c r="T48" s="36">
        <v>9.367555468531485</v>
      </c>
      <c r="U48" s="36">
        <v>9.3897720000000167</v>
      </c>
      <c r="V48" s="42">
        <f>+V45</f>
        <v>0.5</v>
      </c>
      <c r="W48" s="43">
        <f t="shared" si="16"/>
        <v>0.75</v>
      </c>
      <c r="X48" s="43">
        <f t="shared" si="16"/>
        <v>1</v>
      </c>
      <c r="Y48" s="44">
        <f t="shared" si="9"/>
        <v>10004</v>
      </c>
      <c r="Z48" s="44">
        <f t="shared" si="9"/>
        <v>9154</v>
      </c>
      <c r="AA48" s="44">
        <f t="shared" si="9"/>
        <v>9050</v>
      </c>
      <c r="AB48" s="44">
        <f t="shared" si="3"/>
        <v>10833.666666666666</v>
      </c>
      <c r="AC48" s="44">
        <f t="shared" si="4"/>
        <v>-1908.0000000000005</v>
      </c>
      <c r="AD48" s="44">
        <f t="shared" si="5"/>
        <v>9089.2095238095226</v>
      </c>
      <c r="AE48" s="45">
        <f t="shared" si="12"/>
        <v>0.37539018008795366</v>
      </c>
      <c r="AF48" s="46" t="str">
        <f t="shared" si="15"/>
        <v>Gas Natural</v>
      </c>
      <c r="AG48" s="49">
        <f t="shared" si="14"/>
        <v>54.3</v>
      </c>
      <c r="AH48" s="48">
        <f t="shared" si="13"/>
        <v>0.52073818221403434</v>
      </c>
      <c r="AK48" s="53"/>
    </row>
    <row r="49" spans="1:37" x14ac:dyDescent="0.25">
      <c r="A49" s="35" t="s">
        <v>80</v>
      </c>
      <c r="B49" s="36">
        <v>22.37</v>
      </c>
      <c r="C49" s="37">
        <v>15</v>
      </c>
      <c r="D49" s="36">
        <v>1.55</v>
      </c>
      <c r="E49" s="36">
        <v>2.9</v>
      </c>
      <c r="F49" s="36">
        <v>1.51</v>
      </c>
      <c r="G49" s="38">
        <v>965.4</v>
      </c>
      <c r="H49" s="39">
        <v>1.131</v>
      </c>
      <c r="I49" s="39">
        <v>1.1715351149782474</v>
      </c>
      <c r="J49" s="58">
        <v>9587</v>
      </c>
      <c r="K49" s="40">
        <v>9284</v>
      </c>
      <c r="L49" s="40">
        <v>8846</v>
      </c>
      <c r="M49" s="41">
        <v>15.452999999999999</v>
      </c>
      <c r="N49" s="36">
        <v>2.1386583521597875</v>
      </c>
      <c r="O49" s="36">
        <v>24.75210449347427</v>
      </c>
      <c r="P49" s="36">
        <v>26.279717602159831</v>
      </c>
      <c r="Q49" s="36">
        <v>26.290707624524476</v>
      </c>
      <c r="R49" s="36">
        <v>26.324647399474113</v>
      </c>
      <c r="S49" s="36">
        <v>9.2414793750000896</v>
      </c>
      <c r="T49" s="36">
        <v>9.2508602482015299</v>
      </c>
      <c r="U49" s="36">
        <v>9.2798305919118569</v>
      </c>
      <c r="V49" s="42">
        <f>+V47</f>
        <v>0.6</v>
      </c>
      <c r="W49" s="43">
        <f t="shared" si="16"/>
        <v>0.75</v>
      </c>
      <c r="X49" s="43">
        <f t="shared" si="16"/>
        <v>1</v>
      </c>
      <c r="Y49" s="44">
        <f t="shared" si="9"/>
        <v>9587</v>
      </c>
      <c r="Z49" s="44">
        <f t="shared" si="9"/>
        <v>9284</v>
      </c>
      <c r="AA49" s="44">
        <f t="shared" si="9"/>
        <v>8846</v>
      </c>
      <c r="AB49" s="44">
        <f t="shared" si="3"/>
        <v>10682.091836734693</v>
      </c>
      <c r="AC49" s="44">
        <f t="shared" si="4"/>
        <v>-1842.2448979591834</v>
      </c>
      <c r="AD49" s="44">
        <f t="shared" si="5"/>
        <v>8997.7536443148674</v>
      </c>
      <c r="AE49" s="45">
        <f t="shared" si="12"/>
        <v>0.37920575900139641</v>
      </c>
      <c r="AF49" s="46" t="str">
        <f t="shared" si="15"/>
        <v>Gas Natural</v>
      </c>
      <c r="AG49" s="49">
        <f t="shared" si="14"/>
        <v>54.3</v>
      </c>
      <c r="AH49" s="48">
        <f t="shared" si="13"/>
        <v>0.51549850011449894</v>
      </c>
      <c r="AK49" s="53"/>
    </row>
    <row r="50" spans="1:37" x14ac:dyDescent="0.25">
      <c r="A50" s="35" t="s">
        <v>81</v>
      </c>
      <c r="B50" s="36">
        <v>23.51</v>
      </c>
      <c r="C50" s="37">
        <v>15</v>
      </c>
      <c r="D50" s="36">
        <v>1.51</v>
      </c>
      <c r="E50" s="36">
        <v>2.9</v>
      </c>
      <c r="F50" s="36">
        <v>1.47</v>
      </c>
      <c r="G50" s="38">
        <v>965.4</v>
      </c>
      <c r="H50" s="39">
        <v>1.131</v>
      </c>
      <c r="I50" s="39">
        <v>1.1715351149782474</v>
      </c>
      <c r="J50" s="58">
        <v>9792</v>
      </c>
      <c r="K50" s="40">
        <v>9358</v>
      </c>
      <c r="L50" s="40">
        <v>9037</v>
      </c>
      <c r="M50" s="41">
        <v>15.452999999999999</v>
      </c>
      <c r="N50" s="36">
        <v>2.0111373289464942</v>
      </c>
      <c r="O50" s="36">
        <v>25.002801292728495</v>
      </c>
      <c r="P50" s="36">
        <v>26.470784744514262</v>
      </c>
      <c r="Q50" s="36">
        <v>26.49253264750368</v>
      </c>
      <c r="R50" s="36">
        <v>26.526390178294022</v>
      </c>
      <c r="S50" s="36">
        <v>9.4045706386861792</v>
      </c>
      <c r="T50" s="36">
        <v>9.4231342333333803</v>
      </c>
      <c r="U50" s="36">
        <v>9.4520343750000446</v>
      </c>
      <c r="V50" s="42">
        <f t="shared" ref="V50:X65" si="17">+V49</f>
        <v>0.6</v>
      </c>
      <c r="W50" s="43">
        <f t="shared" si="17"/>
        <v>0.75</v>
      </c>
      <c r="X50" s="43">
        <f t="shared" si="17"/>
        <v>1</v>
      </c>
      <c r="Y50" s="44">
        <f t="shared" si="9"/>
        <v>9792</v>
      </c>
      <c r="Z50" s="44">
        <f t="shared" si="9"/>
        <v>9358</v>
      </c>
      <c r="AA50" s="44">
        <f t="shared" si="9"/>
        <v>9037</v>
      </c>
      <c r="AB50" s="44">
        <f t="shared" si="3"/>
        <v>10825.969387755102</v>
      </c>
      <c r="AC50" s="44">
        <f t="shared" si="4"/>
        <v>-1825.918367346939</v>
      </c>
      <c r="AD50" s="44">
        <f t="shared" si="5"/>
        <v>9156.5583090379005</v>
      </c>
      <c r="AE50" s="45">
        <f t="shared" si="12"/>
        <v>0.37262909106713332</v>
      </c>
      <c r="AF50" s="46" t="str">
        <f t="shared" si="15"/>
        <v>Gas Natural</v>
      </c>
      <c r="AG50" s="49">
        <f t="shared" si="14"/>
        <v>54.3</v>
      </c>
      <c r="AH50" s="48">
        <f t="shared" si="13"/>
        <v>0.52459672281674341</v>
      </c>
    </row>
    <row r="51" spans="1:37" x14ac:dyDescent="0.25">
      <c r="A51" s="35" t="s">
        <v>82</v>
      </c>
      <c r="B51" s="36">
        <v>23.67</v>
      </c>
      <c r="C51" s="37">
        <v>15</v>
      </c>
      <c r="D51" s="36">
        <v>1.6</v>
      </c>
      <c r="E51" s="36">
        <v>2.9</v>
      </c>
      <c r="F51" s="36">
        <v>1.55</v>
      </c>
      <c r="G51" s="38">
        <v>965.4</v>
      </c>
      <c r="H51" s="39">
        <v>1.131</v>
      </c>
      <c r="I51" s="39">
        <v>1.1715351149782474</v>
      </c>
      <c r="J51" s="40">
        <v>10004</v>
      </c>
      <c r="K51" s="40">
        <v>9154</v>
      </c>
      <c r="L51" s="40">
        <v>9050</v>
      </c>
      <c r="M51" s="41">
        <v>15.452999999999999</v>
      </c>
      <c r="N51" s="36">
        <v>1.7368982796768373</v>
      </c>
      <c r="O51" s="36">
        <v>25.21280599129895</v>
      </c>
      <c r="P51" s="36">
        <v>26.418985352185643</v>
      </c>
      <c r="Q51" s="36">
        <v>26.427420172891143</v>
      </c>
      <c r="R51" s="36">
        <v>26.453447619639547</v>
      </c>
      <c r="S51" s="36">
        <v>9.3603556666666847</v>
      </c>
      <c r="T51" s="36">
        <v>9.367555468531485</v>
      </c>
      <c r="U51" s="36">
        <v>9.3897720000000167</v>
      </c>
      <c r="V51" s="42">
        <f>+V48</f>
        <v>0.5</v>
      </c>
      <c r="W51" s="43">
        <f t="shared" si="17"/>
        <v>0.75</v>
      </c>
      <c r="X51" s="43">
        <f t="shared" si="17"/>
        <v>1</v>
      </c>
      <c r="Y51" s="44">
        <f t="shared" si="9"/>
        <v>10004</v>
      </c>
      <c r="Z51" s="44">
        <f t="shared" si="9"/>
        <v>9154</v>
      </c>
      <c r="AA51" s="44">
        <f t="shared" si="9"/>
        <v>9050</v>
      </c>
      <c r="AB51" s="44">
        <f t="shared" si="3"/>
        <v>10833.666666666666</v>
      </c>
      <c r="AC51" s="44">
        <f t="shared" si="4"/>
        <v>-1908.0000000000005</v>
      </c>
      <c r="AD51" s="44">
        <f t="shared" si="5"/>
        <v>9089.2095238095226</v>
      </c>
      <c r="AE51" s="45">
        <f t="shared" si="12"/>
        <v>0.37539018008795366</v>
      </c>
      <c r="AF51" s="46" t="str">
        <f t="shared" si="15"/>
        <v>Gas Natural</v>
      </c>
      <c r="AG51" s="49">
        <f t="shared" si="14"/>
        <v>54.3</v>
      </c>
      <c r="AH51" s="48">
        <f t="shared" si="13"/>
        <v>0.52073818221403434</v>
      </c>
    </row>
    <row r="52" spans="1:37" x14ac:dyDescent="0.25">
      <c r="A52" s="35" t="s">
        <v>83</v>
      </c>
      <c r="B52" s="36">
        <v>16</v>
      </c>
      <c r="C52" s="37">
        <v>10</v>
      </c>
      <c r="D52" s="36">
        <v>9.35</v>
      </c>
      <c r="E52" s="36">
        <v>5</v>
      </c>
      <c r="F52" s="36">
        <v>8.879999999999999</v>
      </c>
      <c r="G52" s="38">
        <v>944</v>
      </c>
      <c r="H52" s="39">
        <v>1.131</v>
      </c>
      <c r="I52" s="39">
        <v>1.1980932203389831</v>
      </c>
      <c r="J52" s="40">
        <v>15355</v>
      </c>
      <c r="K52" s="40">
        <v>12990</v>
      </c>
      <c r="L52" s="40">
        <v>12074</v>
      </c>
      <c r="M52" s="41">
        <v>5.63</v>
      </c>
      <c r="N52" s="36">
        <v>38.069600027144766</v>
      </c>
      <c r="O52" s="36">
        <v>16.691575370762763</v>
      </c>
      <c r="P52" s="36">
        <v>21.300485785671331</v>
      </c>
      <c r="Q52" s="36">
        <v>21.351257136631155</v>
      </c>
      <c r="R52" s="36">
        <v>21.456231193934823</v>
      </c>
      <c r="S52" s="36">
        <v>13.079521292372888</v>
      </c>
      <c r="T52" s="36">
        <v>13.121898087515305</v>
      </c>
      <c r="U52" s="36">
        <v>13.209515691489365</v>
      </c>
      <c r="V52" s="42">
        <f t="shared" si="17"/>
        <v>0.5</v>
      </c>
      <c r="W52" s="43">
        <f t="shared" si="17"/>
        <v>0.75</v>
      </c>
      <c r="X52" s="43">
        <f t="shared" si="17"/>
        <v>1</v>
      </c>
      <c r="Y52" s="44">
        <f t="shared" si="9"/>
        <v>15355</v>
      </c>
      <c r="Z52" s="44">
        <f t="shared" si="9"/>
        <v>12990</v>
      </c>
      <c r="AA52" s="44">
        <f t="shared" si="9"/>
        <v>12074</v>
      </c>
      <c r="AB52" s="44">
        <f t="shared" si="3"/>
        <v>18394.5</v>
      </c>
      <c r="AC52" s="44">
        <f t="shared" si="4"/>
        <v>-6562</v>
      </c>
      <c r="AD52" s="44">
        <f t="shared" si="5"/>
        <v>12394.957142857143</v>
      </c>
      <c r="AE52" s="45">
        <f t="shared" si="12"/>
        <v>0.27527323900157552</v>
      </c>
      <c r="AF52" s="46" t="str">
        <f t="shared" si="15"/>
        <v>Gas Natural</v>
      </c>
      <c r="AG52" s="49">
        <f t="shared" si="14"/>
        <v>54.3</v>
      </c>
      <c r="AH52" s="48">
        <f t="shared" si="13"/>
        <v>0.71013078027131127</v>
      </c>
    </row>
    <row r="53" spans="1:37" x14ac:dyDescent="0.25">
      <c r="A53" s="54" t="s">
        <v>84</v>
      </c>
      <c r="B53" s="36">
        <v>5.18</v>
      </c>
      <c r="C53" s="37">
        <v>10</v>
      </c>
      <c r="D53" s="36">
        <v>9.35</v>
      </c>
      <c r="E53" s="36">
        <v>5</v>
      </c>
      <c r="F53" s="55">
        <v>8.879999999999999</v>
      </c>
      <c r="G53" s="38">
        <v>944</v>
      </c>
      <c r="H53" s="39">
        <v>1.131</v>
      </c>
      <c r="I53" s="56">
        <v>1.1980932203389831</v>
      </c>
      <c r="J53" s="57">
        <v>15259</v>
      </c>
      <c r="K53" s="57">
        <v>12731</v>
      </c>
      <c r="L53" s="57">
        <v>11982</v>
      </c>
      <c r="M53" s="41">
        <v>5.63</v>
      </c>
      <c r="N53" s="36">
        <v>37.535396468485473</v>
      </c>
      <c r="O53" s="36">
        <v>16.580871557203405</v>
      </c>
      <c r="P53" s="36">
        <v>21.125108417794866</v>
      </c>
      <c r="Q53" s="36">
        <v>21.175167330579839</v>
      </c>
      <c r="R53" s="36">
        <v>21.278668361769792</v>
      </c>
      <c r="S53" s="36">
        <v>12.933140889830552</v>
      </c>
      <c r="T53" s="36">
        <v>12.97492304161571</v>
      </c>
      <c r="U53" s="36">
        <v>13.061311170212806</v>
      </c>
      <c r="V53" s="42">
        <f t="shared" si="17"/>
        <v>0.5</v>
      </c>
      <c r="W53" s="43">
        <f t="shared" si="17"/>
        <v>0.75</v>
      </c>
      <c r="X53" s="43">
        <f t="shared" si="17"/>
        <v>1</v>
      </c>
      <c r="Y53" s="44">
        <f t="shared" si="9"/>
        <v>15259</v>
      </c>
      <c r="Z53" s="44">
        <f t="shared" si="9"/>
        <v>12731</v>
      </c>
      <c r="AA53" s="44">
        <f t="shared" si="9"/>
        <v>11982</v>
      </c>
      <c r="AB53" s="44">
        <f t="shared" si="3"/>
        <v>18239.5</v>
      </c>
      <c r="AC53" s="44">
        <f t="shared" si="4"/>
        <v>-6554.0000000000009</v>
      </c>
      <c r="AD53" s="44">
        <f t="shared" si="5"/>
        <v>12247.271428571428</v>
      </c>
      <c r="AE53" s="45">
        <f t="shared" si="12"/>
        <v>0.27859266612155009</v>
      </c>
      <c r="AF53" s="46" t="str">
        <f t="shared" si="15"/>
        <v>Gas Natural</v>
      </c>
      <c r="AG53" s="49">
        <f t="shared" si="14"/>
        <v>54.3</v>
      </c>
      <c r="AH53" s="48">
        <f t="shared" si="13"/>
        <v>0.70166958348685315</v>
      </c>
    </row>
    <row r="54" spans="1:37" x14ac:dyDescent="0.25">
      <c r="A54" s="54" t="s">
        <v>85</v>
      </c>
      <c r="B54" s="36">
        <v>4.67</v>
      </c>
      <c r="C54" s="37">
        <v>10</v>
      </c>
      <c r="D54" s="36">
        <v>17.5</v>
      </c>
      <c r="E54" s="36">
        <v>1.3</v>
      </c>
      <c r="F54" s="55">
        <v>17.27</v>
      </c>
      <c r="G54" s="38">
        <v>944</v>
      </c>
      <c r="H54" s="39">
        <v>1.131</v>
      </c>
      <c r="I54" s="56">
        <v>1.1980932203389831</v>
      </c>
      <c r="J54" s="57">
        <v>11396</v>
      </c>
      <c r="K54" s="57">
        <v>10222</v>
      </c>
      <c r="L54" s="57">
        <v>9682</v>
      </c>
      <c r="M54" s="41">
        <v>7.335</v>
      </c>
      <c r="N54" s="36">
        <v>36.237610909691981</v>
      </c>
      <c r="O54" s="36">
        <v>17.005510067796639</v>
      </c>
      <c r="P54" s="36">
        <v>19.261899290068868</v>
      </c>
      <c r="Q54" s="36">
        <v>19.28603938873383</v>
      </c>
      <c r="R54" s="36">
        <v>19.337402661727911</v>
      </c>
      <c r="S54" s="36">
        <v>9.9549009105437758</v>
      </c>
      <c r="T54" s="36">
        <v>9.9750496754772175</v>
      </c>
      <c r="U54" s="36">
        <v>10.017920524024001</v>
      </c>
      <c r="V54" s="42">
        <f t="shared" si="17"/>
        <v>0.5</v>
      </c>
      <c r="W54" s="43">
        <f t="shared" si="17"/>
        <v>0.75</v>
      </c>
      <c r="X54" s="43">
        <f t="shared" si="17"/>
        <v>1</v>
      </c>
      <c r="Y54" s="44">
        <f t="shared" si="9"/>
        <v>11396</v>
      </c>
      <c r="Z54" s="44">
        <f t="shared" si="9"/>
        <v>10222</v>
      </c>
      <c r="AA54" s="44">
        <f t="shared" si="9"/>
        <v>9682</v>
      </c>
      <c r="AB54" s="44">
        <f t="shared" si="3"/>
        <v>13004.333333333336</v>
      </c>
      <c r="AC54" s="44">
        <f t="shared" si="4"/>
        <v>-3428.0000000000009</v>
      </c>
      <c r="AD54" s="44">
        <f t="shared" si="5"/>
        <v>9870.161904761906</v>
      </c>
      <c r="AE54" s="45">
        <f t="shared" si="12"/>
        <v>0.34568835171324441</v>
      </c>
      <c r="AF54" s="46" t="str">
        <f t="shared" si="15"/>
        <v>Gas Natural</v>
      </c>
      <c r="AG54" s="49">
        <f t="shared" si="14"/>
        <v>54.3</v>
      </c>
      <c r="AH54" s="48">
        <f t="shared" si="13"/>
        <v>0.56548043644280688</v>
      </c>
    </row>
    <row r="55" spans="1:37" x14ac:dyDescent="0.25">
      <c r="A55" s="54" t="s">
        <v>86</v>
      </c>
      <c r="B55" s="36">
        <v>7.51</v>
      </c>
      <c r="C55" s="37">
        <v>10</v>
      </c>
      <c r="D55" s="36">
        <v>32.35</v>
      </c>
      <c r="E55" s="36">
        <v>1.3</v>
      </c>
      <c r="F55" s="55">
        <v>31.93</v>
      </c>
      <c r="G55" s="38">
        <v>944</v>
      </c>
      <c r="H55" s="39">
        <v>1.131</v>
      </c>
      <c r="I55" s="56">
        <v>1.1980932203389831</v>
      </c>
      <c r="J55" s="57">
        <v>9522</v>
      </c>
      <c r="K55" s="57">
        <v>8531</v>
      </c>
      <c r="L55" s="57">
        <v>8140</v>
      </c>
      <c r="M55" s="41">
        <v>6.0819999999999999</v>
      </c>
      <c r="N55" s="36">
        <v>53.576507973054632</v>
      </c>
      <c r="O55" s="36">
        <v>14.283971264830464</v>
      </c>
      <c r="P55" s="36">
        <v>16.088501678203809</v>
      </c>
      <c r="Q55" s="36">
        <v>16.107541992299989</v>
      </c>
      <c r="R55" s="36">
        <v>16.148150387066185</v>
      </c>
      <c r="S55" s="36">
        <v>8.352022620888059</v>
      </c>
      <c r="T55" s="36">
        <v>8.3679148017075047</v>
      </c>
      <c r="U55" s="36">
        <v>8.4018089879668238</v>
      </c>
      <c r="V55" s="42">
        <f t="shared" si="17"/>
        <v>0.5</v>
      </c>
      <c r="W55" s="43">
        <f t="shared" si="17"/>
        <v>0.75</v>
      </c>
      <c r="X55" s="43">
        <f t="shared" si="17"/>
        <v>1</v>
      </c>
      <c r="Y55" s="44">
        <f t="shared" si="9"/>
        <v>9522</v>
      </c>
      <c r="Z55" s="44">
        <f t="shared" si="9"/>
        <v>8531</v>
      </c>
      <c r="AA55" s="44">
        <f t="shared" si="9"/>
        <v>8140</v>
      </c>
      <c r="AB55" s="44">
        <f t="shared" si="3"/>
        <v>10804</v>
      </c>
      <c r="AC55" s="44">
        <f t="shared" si="4"/>
        <v>-2763.9999999999995</v>
      </c>
      <c r="AD55" s="44">
        <f t="shared" si="5"/>
        <v>8276.914285714287</v>
      </c>
      <c r="AE55" s="45">
        <f t="shared" si="12"/>
        <v>0.41223092111621995</v>
      </c>
      <c r="AF55" s="46" t="str">
        <f t="shared" si="15"/>
        <v>Gas Natural</v>
      </c>
      <c r="AG55" s="49">
        <f t="shared" si="14"/>
        <v>54.3</v>
      </c>
      <c r="AH55" s="48">
        <f t="shared" si="13"/>
        <v>0.47420023580639759</v>
      </c>
      <c r="AK55" s="53"/>
    </row>
    <row r="56" spans="1:37" x14ac:dyDescent="0.25">
      <c r="A56" s="54" t="s">
        <v>87</v>
      </c>
      <c r="B56" s="36">
        <v>0.93</v>
      </c>
      <c r="C56" s="37">
        <v>26</v>
      </c>
      <c r="D56" s="36">
        <v>28.72</v>
      </c>
      <c r="E56" s="36">
        <v>2.6</v>
      </c>
      <c r="F56" s="55">
        <v>27.97</v>
      </c>
      <c r="G56" s="38">
        <v>930.7</v>
      </c>
      <c r="H56" s="39">
        <v>1.131</v>
      </c>
      <c r="I56" s="56">
        <v>1.2152143547867196</v>
      </c>
      <c r="J56" s="57">
        <v>11812</v>
      </c>
      <c r="K56" s="57">
        <v>10653</v>
      </c>
      <c r="L56" s="57">
        <v>9767</v>
      </c>
      <c r="M56" s="41">
        <v>7.1539999999999999</v>
      </c>
      <c r="N56" s="36">
        <v>75.057350885440613</v>
      </c>
      <c r="O56" s="36">
        <v>16.781866264102252</v>
      </c>
      <c r="P56" s="36">
        <v>19.667577563042684</v>
      </c>
      <c r="Q56" s="36">
        <v>19.698980562020658</v>
      </c>
      <c r="R56" s="36">
        <v>19.763882588513876</v>
      </c>
      <c r="S56" s="36">
        <v>10.297424083044939</v>
      </c>
      <c r="T56" s="36">
        <v>10.323265613680483</v>
      </c>
      <c r="U56" s="36">
        <v>10.376673497020217</v>
      </c>
      <c r="V56" s="42">
        <f t="shared" si="17"/>
        <v>0.5</v>
      </c>
      <c r="W56" s="43">
        <f t="shared" si="17"/>
        <v>0.75</v>
      </c>
      <c r="X56" s="43">
        <f t="shared" si="17"/>
        <v>1</v>
      </c>
      <c r="Y56" s="44">
        <f t="shared" si="9"/>
        <v>11812</v>
      </c>
      <c r="Z56" s="44">
        <f t="shared" si="9"/>
        <v>10653</v>
      </c>
      <c r="AA56" s="44">
        <f t="shared" si="9"/>
        <v>9767</v>
      </c>
      <c r="AB56" s="44">
        <f t="shared" si="3"/>
        <v>13811.5</v>
      </c>
      <c r="AC56" s="44">
        <f t="shared" si="4"/>
        <v>-4090.0000000000005</v>
      </c>
      <c r="AD56" s="44">
        <f t="shared" si="5"/>
        <v>10072.071428571428</v>
      </c>
      <c r="AE56" s="45">
        <f t="shared" si="12"/>
        <v>0.33875851895978276</v>
      </c>
      <c r="AF56" s="46" t="str">
        <f t="shared" si="15"/>
        <v>Gas Natural</v>
      </c>
      <c r="AG56" s="49">
        <f t="shared" si="14"/>
        <v>54.3</v>
      </c>
      <c r="AH56" s="48">
        <f t="shared" si="13"/>
        <v>0.57704821889130786</v>
      </c>
    </row>
    <row r="57" spans="1:37" x14ac:dyDescent="0.25">
      <c r="A57" s="54" t="s">
        <v>88</v>
      </c>
      <c r="B57" s="36">
        <v>0.77</v>
      </c>
      <c r="C57" s="37">
        <v>26</v>
      </c>
      <c r="D57" s="36">
        <v>28.04</v>
      </c>
      <c r="E57" s="36">
        <v>2.6</v>
      </c>
      <c r="F57" s="55">
        <v>27.31</v>
      </c>
      <c r="G57" s="38">
        <v>930.7</v>
      </c>
      <c r="H57" s="39">
        <v>1.131</v>
      </c>
      <c r="I57" s="56">
        <v>1.2152143547867196</v>
      </c>
      <c r="J57" s="57">
        <v>12203</v>
      </c>
      <c r="K57" s="57">
        <v>10504</v>
      </c>
      <c r="L57" s="57">
        <v>9728</v>
      </c>
      <c r="M57" s="41">
        <v>7.1539999999999999</v>
      </c>
      <c r="N57" s="36">
        <v>86.099095451876366</v>
      </c>
      <c r="O57" s="36">
        <v>16.197112407865021</v>
      </c>
      <c r="P57" s="36">
        <v>19.586840575261729</v>
      </c>
      <c r="Q57" s="36">
        <v>19.623260257123928</v>
      </c>
      <c r="R57" s="36">
        <v>19.699923451472682</v>
      </c>
      <c r="S57" s="36">
        <v>10.230985608661443</v>
      </c>
      <c r="T57" s="36">
        <v>10.260955368085977</v>
      </c>
      <c r="U57" s="36">
        <v>10.324041517493923</v>
      </c>
      <c r="V57" s="42">
        <f t="shared" si="17"/>
        <v>0.5</v>
      </c>
      <c r="W57" s="43">
        <f t="shared" si="17"/>
        <v>0.75</v>
      </c>
      <c r="X57" s="43">
        <f t="shared" si="17"/>
        <v>1</v>
      </c>
      <c r="Y57" s="44">
        <f t="shared" si="9"/>
        <v>12203</v>
      </c>
      <c r="Z57" s="44">
        <f t="shared" si="9"/>
        <v>10504</v>
      </c>
      <c r="AA57" s="44">
        <f t="shared" si="9"/>
        <v>9728</v>
      </c>
      <c r="AB57" s="44">
        <f t="shared" si="3"/>
        <v>14524.166666666668</v>
      </c>
      <c r="AC57" s="44">
        <f t="shared" si="4"/>
        <v>-4950.0000000000009</v>
      </c>
      <c r="AD57" s="44">
        <f t="shared" si="5"/>
        <v>9998.4523809523816</v>
      </c>
      <c r="AE57" s="45">
        <f t="shared" si="12"/>
        <v>0.34125281293533521</v>
      </c>
      <c r="AF57" s="46" t="str">
        <f t="shared" si="15"/>
        <v>Gas Natural</v>
      </c>
      <c r="AG57" s="49">
        <f t="shared" si="14"/>
        <v>54.3</v>
      </c>
      <c r="AH57" s="48">
        <f t="shared" si="13"/>
        <v>0.57283044297437613</v>
      </c>
    </row>
    <row r="58" spans="1:37" x14ac:dyDescent="0.25">
      <c r="A58" s="54" t="s">
        <v>89</v>
      </c>
      <c r="B58" s="36">
        <v>1.41</v>
      </c>
      <c r="C58" s="37">
        <v>26</v>
      </c>
      <c r="D58" s="36">
        <v>29.13</v>
      </c>
      <c r="E58" s="36">
        <v>2.6</v>
      </c>
      <c r="F58" s="55">
        <v>28.369999999999997</v>
      </c>
      <c r="G58" s="38">
        <v>930.7</v>
      </c>
      <c r="H58" s="39">
        <v>1.131</v>
      </c>
      <c r="I58" s="56">
        <v>1.2152143547867196</v>
      </c>
      <c r="J58" s="57">
        <v>11869</v>
      </c>
      <c r="K58" s="57">
        <v>10149</v>
      </c>
      <c r="L58" s="57">
        <v>9786</v>
      </c>
      <c r="M58" s="41">
        <v>7.1539999999999999</v>
      </c>
      <c r="N58" s="36">
        <v>72.645199668130886</v>
      </c>
      <c r="O58" s="36">
        <v>16.758176875470074</v>
      </c>
      <c r="P58" s="36">
        <v>19.511975194959494</v>
      </c>
      <c r="Q58" s="36">
        <v>19.541517858923363</v>
      </c>
      <c r="R58" s="36">
        <v>19.603660607085072</v>
      </c>
      <c r="S58" s="36">
        <v>10.169378880591337</v>
      </c>
      <c r="T58" s="36">
        <v>10.193689541379289</v>
      </c>
      <c r="U58" s="36">
        <v>10.244826814336054</v>
      </c>
      <c r="V58" s="42">
        <f t="shared" si="17"/>
        <v>0.5</v>
      </c>
      <c r="W58" s="43">
        <f t="shared" si="17"/>
        <v>0.75</v>
      </c>
      <c r="X58" s="43">
        <f t="shared" si="17"/>
        <v>1</v>
      </c>
      <c r="Y58" s="44">
        <f t="shared" si="9"/>
        <v>11869</v>
      </c>
      <c r="Z58" s="44">
        <f t="shared" si="9"/>
        <v>10149</v>
      </c>
      <c r="AA58" s="44">
        <f t="shared" si="9"/>
        <v>9786</v>
      </c>
      <c r="AB58" s="44">
        <f t="shared" si="3"/>
        <v>13725.833333333334</v>
      </c>
      <c r="AC58" s="44">
        <f t="shared" si="4"/>
        <v>-4166</v>
      </c>
      <c r="AD58" s="44">
        <f t="shared" si="5"/>
        <v>9916.9190476190488</v>
      </c>
      <c r="AE58" s="45">
        <f t="shared" si="12"/>
        <v>0.34405847054072569</v>
      </c>
      <c r="AF58" s="46" t="str">
        <f t="shared" si="15"/>
        <v>Gas Natural</v>
      </c>
      <c r="AG58" s="49">
        <f t="shared" si="14"/>
        <v>54.3</v>
      </c>
      <c r="AH58" s="48">
        <f t="shared" si="13"/>
        <v>0.56815924250544303</v>
      </c>
    </row>
    <row r="59" spans="1:37" x14ac:dyDescent="0.25">
      <c r="A59" s="54" t="s">
        <v>90</v>
      </c>
      <c r="B59" s="36">
        <v>1.54</v>
      </c>
      <c r="C59" s="37">
        <v>26</v>
      </c>
      <c r="D59" s="36">
        <v>28.44</v>
      </c>
      <c r="E59" s="36">
        <v>2.6</v>
      </c>
      <c r="F59" s="55">
        <v>27.700000000000003</v>
      </c>
      <c r="G59" s="38">
        <v>930.7</v>
      </c>
      <c r="H59" s="39">
        <v>1.131</v>
      </c>
      <c r="I59" s="56">
        <v>1.2152143547867196</v>
      </c>
      <c r="J59" s="57">
        <v>11974</v>
      </c>
      <c r="K59" s="57">
        <v>10360</v>
      </c>
      <c r="L59" s="57">
        <v>9872</v>
      </c>
      <c r="M59" s="41">
        <v>7.1539999999999999</v>
      </c>
      <c r="N59" s="36">
        <v>72.650143269495743</v>
      </c>
      <c r="O59" s="36">
        <v>16.841713140646835</v>
      </c>
      <c r="P59" s="36">
        <v>19.661982677506142</v>
      </c>
      <c r="Q59" s="36">
        <v>19.692974650438661</v>
      </c>
      <c r="R59" s="36">
        <v>19.755878534529536</v>
      </c>
      <c r="S59" s="36">
        <v>10.292820051242234</v>
      </c>
      <c r="T59" s="36">
        <v>10.318323348508631</v>
      </c>
      <c r="U59" s="36">
        <v>10.370086960288807</v>
      </c>
      <c r="V59" s="42">
        <f t="shared" si="17"/>
        <v>0.5</v>
      </c>
      <c r="W59" s="43">
        <f t="shared" si="17"/>
        <v>0.75</v>
      </c>
      <c r="X59" s="43">
        <f t="shared" si="17"/>
        <v>1</v>
      </c>
      <c r="Y59" s="44">
        <f t="shared" si="9"/>
        <v>11974</v>
      </c>
      <c r="Z59" s="44">
        <f t="shared" si="9"/>
        <v>10360</v>
      </c>
      <c r="AA59" s="44">
        <f t="shared" si="9"/>
        <v>9872</v>
      </c>
      <c r="AB59" s="44">
        <f t="shared" si="3"/>
        <v>13888.333333333336</v>
      </c>
      <c r="AC59" s="44">
        <f t="shared" si="4"/>
        <v>-4204.0000000000009</v>
      </c>
      <c r="AD59" s="44">
        <f t="shared" si="5"/>
        <v>10044.676190476192</v>
      </c>
      <c r="AE59" s="45">
        <f t="shared" si="12"/>
        <v>0.33968242831312673</v>
      </c>
      <c r="AF59" s="46" t="str">
        <f t="shared" si="15"/>
        <v>Gas Natural</v>
      </c>
      <c r="AG59" s="49">
        <f t="shared" si="14"/>
        <v>54.3</v>
      </c>
      <c r="AH59" s="48">
        <f t="shared" si="13"/>
        <v>0.5754786933511975</v>
      </c>
    </row>
    <row r="60" spans="1:37" x14ac:dyDescent="0.25">
      <c r="A60" s="54" t="s">
        <v>91</v>
      </c>
      <c r="B60" s="36">
        <v>12.8</v>
      </c>
      <c r="C60" s="37">
        <v>9</v>
      </c>
      <c r="D60" s="36">
        <v>11.31</v>
      </c>
      <c r="E60" s="36">
        <v>1.4</v>
      </c>
      <c r="F60" s="55">
        <v>11.15</v>
      </c>
      <c r="G60" s="38">
        <v>965.4</v>
      </c>
      <c r="H60" s="39">
        <v>1.131</v>
      </c>
      <c r="I60" s="56">
        <v>1.1715351149782474</v>
      </c>
      <c r="J60" s="57">
        <v>15514</v>
      </c>
      <c r="K60" s="57">
        <v>14023</v>
      </c>
      <c r="L60" s="57">
        <v>13034</v>
      </c>
      <c r="M60" s="41">
        <v>5.63</v>
      </c>
      <c r="N60" s="36">
        <v>33.865456223446984</v>
      </c>
      <c r="O60" s="36">
        <v>18.167482945929049</v>
      </c>
      <c r="P60" s="36">
        <v>21.43319714298276</v>
      </c>
      <c r="Q60" s="36">
        <v>21.46820967336053</v>
      </c>
      <c r="R60" s="36">
        <v>21.540536354638906</v>
      </c>
      <c r="S60" s="36">
        <v>13.48930726952746</v>
      </c>
      <c r="T60" s="36">
        <v>13.519193296783603</v>
      </c>
      <c r="U60" s="36">
        <v>13.580929970617508</v>
      </c>
      <c r="V60" s="42">
        <f t="shared" si="17"/>
        <v>0.5</v>
      </c>
      <c r="W60" s="43">
        <f t="shared" si="17"/>
        <v>0.75</v>
      </c>
      <c r="X60" s="43">
        <f t="shared" si="17"/>
        <v>1</v>
      </c>
      <c r="Y60" s="44">
        <f t="shared" si="9"/>
        <v>15514</v>
      </c>
      <c r="Z60" s="44">
        <f t="shared" si="9"/>
        <v>14023</v>
      </c>
      <c r="AA60" s="44">
        <f t="shared" si="9"/>
        <v>13034</v>
      </c>
      <c r="AB60" s="44">
        <f t="shared" si="3"/>
        <v>17910.333333333332</v>
      </c>
      <c r="AC60" s="44">
        <f t="shared" si="4"/>
        <v>-4959.9999999999991</v>
      </c>
      <c r="AD60" s="44">
        <f t="shared" si="5"/>
        <v>13375.476190476191</v>
      </c>
      <c r="AE60" s="45">
        <f t="shared" si="12"/>
        <v>0.2550937216298485</v>
      </c>
      <c r="AF60" s="46" t="str">
        <f t="shared" si="15"/>
        <v>Gas Natural</v>
      </c>
      <c r="AG60" s="49">
        <f t="shared" si="14"/>
        <v>54.3</v>
      </c>
      <c r="AH60" s="48">
        <f t="shared" si="13"/>
        <v>0.76630659018589853</v>
      </c>
    </row>
    <row r="61" spans="1:37" x14ac:dyDescent="0.25">
      <c r="A61" s="54" t="s">
        <v>92</v>
      </c>
      <c r="B61" s="36">
        <v>1.5</v>
      </c>
      <c r="C61" s="37">
        <v>22</v>
      </c>
      <c r="D61" s="36">
        <v>43.83</v>
      </c>
      <c r="E61" s="36">
        <v>1.3</v>
      </c>
      <c r="F61" s="55">
        <v>43.26</v>
      </c>
      <c r="G61" s="38">
        <v>979.8</v>
      </c>
      <c r="H61" s="39">
        <v>1.131</v>
      </c>
      <c r="I61" s="56">
        <v>1.1543172075933865</v>
      </c>
      <c r="J61" s="57">
        <v>11508</v>
      </c>
      <c r="K61" s="57">
        <v>9681</v>
      </c>
      <c r="L61" s="57">
        <v>8957</v>
      </c>
      <c r="M61" s="41">
        <v>3.3980000000000001</v>
      </c>
      <c r="N61" s="36">
        <v>129.12373618427057</v>
      </c>
      <c r="O61" s="36">
        <v>10.888685260257214</v>
      </c>
      <c r="P61" s="36">
        <v>14.098323246443407</v>
      </c>
      <c r="Q61" s="36">
        <v>14.133000239761499</v>
      </c>
      <c r="R61" s="36">
        <v>14.205503554227688</v>
      </c>
      <c r="S61" s="36">
        <v>9.2698291042133061</v>
      </c>
      <c r="T61" s="36">
        <v>9.2998702342337012</v>
      </c>
      <c r="U61" s="36">
        <v>9.362680797906533</v>
      </c>
      <c r="V61" s="42">
        <f t="shared" si="17"/>
        <v>0.5</v>
      </c>
      <c r="W61" s="43">
        <f t="shared" si="17"/>
        <v>0.75</v>
      </c>
      <c r="X61" s="43">
        <f t="shared" si="17"/>
        <v>1</v>
      </c>
      <c r="Y61" s="44">
        <f t="shared" si="9"/>
        <v>11508</v>
      </c>
      <c r="Z61" s="44">
        <f t="shared" si="9"/>
        <v>9681</v>
      </c>
      <c r="AA61" s="44">
        <f t="shared" si="9"/>
        <v>8957</v>
      </c>
      <c r="AB61" s="44">
        <f t="shared" si="3"/>
        <v>13875.166666666666</v>
      </c>
      <c r="AC61" s="44">
        <f t="shared" si="4"/>
        <v>-5102</v>
      </c>
      <c r="AD61" s="44">
        <f t="shared" si="5"/>
        <v>9210.4809523809527</v>
      </c>
      <c r="AE61" s="45">
        <f t="shared" si="12"/>
        <v>0.37044753880284415</v>
      </c>
      <c r="AF61" s="46" t="str">
        <f t="shared" si="15"/>
        <v>Gas Natural</v>
      </c>
      <c r="AG61" s="49">
        <f t="shared" si="14"/>
        <v>54.3</v>
      </c>
      <c r="AH61" s="48">
        <f t="shared" si="13"/>
        <v>0.52768605409479152</v>
      </c>
    </row>
    <row r="62" spans="1:37" x14ac:dyDescent="0.25">
      <c r="A62" s="54" t="s">
        <v>93</v>
      </c>
      <c r="B62" s="36">
        <v>0.66</v>
      </c>
      <c r="C62" s="37">
        <v>22</v>
      </c>
      <c r="D62" s="36">
        <v>43.31</v>
      </c>
      <c r="E62" s="36">
        <v>1.3</v>
      </c>
      <c r="F62" s="55">
        <v>42.75</v>
      </c>
      <c r="G62" s="38">
        <v>979.8</v>
      </c>
      <c r="H62" s="39">
        <v>1.131</v>
      </c>
      <c r="I62" s="56">
        <v>1.1543172075933865</v>
      </c>
      <c r="J62" s="57">
        <v>11126</v>
      </c>
      <c r="K62" s="57">
        <v>9741</v>
      </c>
      <c r="L62" s="57">
        <v>9003</v>
      </c>
      <c r="M62" s="41">
        <v>3.3980000000000001</v>
      </c>
      <c r="N62" s="36">
        <v>107.8999700882252</v>
      </c>
      <c r="O62" s="36">
        <v>11.442944519289671</v>
      </c>
      <c r="P62" s="36">
        <v>14.156726463158515</v>
      </c>
      <c r="Q62" s="36">
        <v>14.186396593742385</v>
      </c>
      <c r="R62" s="36">
        <v>14.246997796010701</v>
      </c>
      <c r="S62" s="36">
        <v>9.3204245699405064</v>
      </c>
      <c r="T62" s="36">
        <v>9.3461281896983106</v>
      </c>
      <c r="U62" s="36">
        <v>9.3986277988782359</v>
      </c>
      <c r="V62" s="42">
        <f t="shared" si="17"/>
        <v>0.5</v>
      </c>
      <c r="W62" s="43">
        <f t="shared" si="17"/>
        <v>0.75</v>
      </c>
      <c r="X62" s="43">
        <f t="shared" si="17"/>
        <v>1</v>
      </c>
      <c r="Y62" s="44">
        <f t="shared" si="9"/>
        <v>11126</v>
      </c>
      <c r="Z62" s="44">
        <f t="shared" si="9"/>
        <v>9741</v>
      </c>
      <c r="AA62" s="44">
        <f t="shared" si="9"/>
        <v>9003</v>
      </c>
      <c r="AB62" s="44">
        <f t="shared" si="3"/>
        <v>13141.166666666666</v>
      </c>
      <c r="AC62" s="44">
        <f t="shared" si="4"/>
        <v>-4246</v>
      </c>
      <c r="AD62" s="44">
        <f t="shared" si="5"/>
        <v>9259.1095238095222</v>
      </c>
      <c r="AE62" s="45">
        <f t="shared" si="12"/>
        <v>0.36850195920311174</v>
      </c>
      <c r="AF62" s="46" t="str">
        <f t="shared" si="15"/>
        <v>Gas Natural</v>
      </c>
      <c r="AG62" s="49">
        <f t="shared" si="14"/>
        <v>54.3</v>
      </c>
      <c r="AH62" s="48">
        <f t="shared" si="13"/>
        <v>0.53047207787640249</v>
      </c>
    </row>
    <row r="63" spans="1:37" x14ac:dyDescent="0.25">
      <c r="A63" s="54" t="s">
        <v>94</v>
      </c>
      <c r="B63" s="36">
        <v>0.6</v>
      </c>
      <c r="C63" s="37">
        <v>22</v>
      </c>
      <c r="D63" s="36">
        <v>44.16</v>
      </c>
      <c r="E63" s="36">
        <v>1.3</v>
      </c>
      <c r="F63" s="55">
        <v>43.589999999999996</v>
      </c>
      <c r="G63" s="38">
        <v>979.8</v>
      </c>
      <c r="H63" s="39">
        <v>1.131</v>
      </c>
      <c r="I63" s="56">
        <v>1.1543172075933865</v>
      </c>
      <c r="J63" s="57">
        <v>11572</v>
      </c>
      <c r="K63" s="57">
        <v>9718</v>
      </c>
      <c r="L63" s="57">
        <v>8917</v>
      </c>
      <c r="M63" s="41">
        <v>3.3980000000000001</v>
      </c>
      <c r="N63" s="36">
        <v>136.01269642817036</v>
      </c>
      <c r="O63" s="36">
        <v>10.720302700551118</v>
      </c>
      <c r="P63" s="36">
        <v>14.075327279440371</v>
      </c>
      <c r="Q63" s="36">
        <v>14.112140516714968</v>
      </c>
      <c r="R63" s="36">
        <v>14.187360983196298</v>
      </c>
      <c r="S63" s="36">
        <v>9.2499073991120024</v>
      </c>
      <c r="T63" s="36">
        <v>9.2817991850374231</v>
      </c>
      <c r="U63" s="36">
        <v>9.3469636528167381</v>
      </c>
      <c r="V63" s="42">
        <f t="shared" si="17"/>
        <v>0.5</v>
      </c>
      <c r="W63" s="43">
        <f t="shared" si="17"/>
        <v>0.75</v>
      </c>
      <c r="X63" s="43">
        <f t="shared" si="17"/>
        <v>1</v>
      </c>
      <c r="Y63" s="44">
        <f t="shared" si="9"/>
        <v>11572</v>
      </c>
      <c r="Z63" s="44">
        <f t="shared" si="9"/>
        <v>9718</v>
      </c>
      <c r="AA63" s="44">
        <f t="shared" si="9"/>
        <v>8917</v>
      </c>
      <c r="AB63" s="44">
        <f t="shared" si="3"/>
        <v>14051.5</v>
      </c>
      <c r="AC63" s="44">
        <f t="shared" si="4"/>
        <v>-5310.0000000000009</v>
      </c>
      <c r="AD63" s="44">
        <f t="shared" si="5"/>
        <v>9196.6428571428569</v>
      </c>
      <c r="AE63" s="45">
        <f t="shared" si="12"/>
        <v>0.37100494745753498</v>
      </c>
      <c r="AF63" s="46" t="str">
        <f t="shared" si="15"/>
        <v>Gas Natural</v>
      </c>
      <c r="AG63" s="49">
        <f t="shared" si="14"/>
        <v>54.3</v>
      </c>
      <c r="AH63" s="48">
        <f t="shared" si="13"/>
        <v>0.52689324317534747</v>
      </c>
    </row>
    <row r="64" spans="1:37" x14ac:dyDescent="0.25">
      <c r="A64" s="54" t="s">
        <v>95</v>
      </c>
      <c r="B64" s="36">
        <v>0.71</v>
      </c>
      <c r="C64" s="37">
        <v>22</v>
      </c>
      <c r="D64" s="36">
        <v>44.06</v>
      </c>
      <c r="E64" s="36">
        <v>1.3</v>
      </c>
      <c r="F64" s="55">
        <v>43.49</v>
      </c>
      <c r="G64" s="38">
        <v>979.8</v>
      </c>
      <c r="H64" s="39">
        <v>1.131</v>
      </c>
      <c r="I64" s="56">
        <v>1.1543172075933865</v>
      </c>
      <c r="J64" s="57">
        <v>11478</v>
      </c>
      <c r="K64" s="57">
        <v>9743</v>
      </c>
      <c r="L64" s="57">
        <v>8934</v>
      </c>
      <c r="M64" s="41">
        <v>3.3980000000000001</v>
      </c>
      <c r="N64" s="36">
        <v>130.5655381615291</v>
      </c>
      <c r="O64" s="36">
        <v>10.869976086956493</v>
      </c>
      <c r="P64" s="36">
        <v>14.097801505041264</v>
      </c>
      <c r="Q64" s="36">
        <v>14.133298710338876</v>
      </c>
      <c r="R64" s="36">
        <v>14.205835518778901</v>
      </c>
      <c r="S64" s="36">
        <v>9.2693771128553752</v>
      </c>
      <c r="T64" s="36">
        <v>9.3001288031742089</v>
      </c>
      <c r="U64" s="36">
        <v>9.362968383111907</v>
      </c>
      <c r="V64" s="42">
        <f t="shared" si="17"/>
        <v>0.5</v>
      </c>
      <c r="W64" s="43">
        <f t="shared" si="17"/>
        <v>0.75</v>
      </c>
      <c r="X64" s="43">
        <f t="shared" si="17"/>
        <v>1</v>
      </c>
      <c r="Y64" s="44">
        <f t="shared" si="9"/>
        <v>11478</v>
      </c>
      <c r="Z64" s="44">
        <f t="shared" si="9"/>
        <v>9743</v>
      </c>
      <c r="AA64" s="44">
        <f t="shared" si="9"/>
        <v>8934</v>
      </c>
      <c r="AB64" s="44">
        <f t="shared" si="3"/>
        <v>13867.666666666664</v>
      </c>
      <c r="AC64" s="44">
        <f t="shared" si="4"/>
        <v>-5087.9999999999991</v>
      </c>
      <c r="AD64" s="44">
        <f t="shared" si="5"/>
        <v>9215.7809523809519</v>
      </c>
      <c r="AE64" s="45">
        <f t="shared" si="12"/>
        <v>0.37023449424744515</v>
      </c>
      <c r="AF64" s="46" t="str">
        <f t="shared" si="15"/>
        <v>Gas Natural</v>
      </c>
      <c r="AG64" s="49">
        <f t="shared" si="14"/>
        <v>54.3</v>
      </c>
      <c r="AH64" s="48">
        <f t="shared" si="13"/>
        <v>0.52798970122257571</v>
      </c>
    </row>
    <row r="65" spans="1:34" x14ac:dyDescent="0.25">
      <c r="A65" s="54" t="s">
        <v>96</v>
      </c>
      <c r="B65" s="36">
        <v>0.64</v>
      </c>
      <c r="C65" s="37">
        <v>26</v>
      </c>
      <c r="D65" s="36">
        <v>44.58</v>
      </c>
      <c r="E65" s="36">
        <v>1.3</v>
      </c>
      <c r="F65" s="55">
        <v>44</v>
      </c>
      <c r="G65" s="38">
        <v>911.2</v>
      </c>
      <c r="H65" s="39">
        <v>1.131</v>
      </c>
      <c r="I65" s="56">
        <v>1.2412203687445127</v>
      </c>
      <c r="J65" s="57">
        <v>11555</v>
      </c>
      <c r="K65" s="57">
        <v>9691</v>
      </c>
      <c r="L65" s="57">
        <v>8883</v>
      </c>
      <c r="M65" s="41">
        <v>3.306</v>
      </c>
      <c r="N65" s="36">
        <v>148.61503061602261</v>
      </c>
      <c r="O65" s="36">
        <v>11.11543956650571</v>
      </c>
      <c r="P65" s="36">
        <v>14.747282934443701</v>
      </c>
      <c r="Q65" s="36">
        <v>14.786759492790855</v>
      </c>
      <c r="R65" s="36">
        <v>14.868344380041634</v>
      </c>
      <c r="S65" s="36">
        <v>9.217769239491691</v>
      </c>
      <c r="T65" s="36">
        <v>9.2495738725296448</v>
      </c>
      <c r="U65" s="36">
        <v>9.3153034474747454</v>
      </c>
      <c r="V65" s="42">
        <f t="shared" si="17"/>
        <v>0.5</v>
      </c>
      <c r="W65" s="43">
        <f t="shared" si="17"/>
        <v>0.75</v>
      </c>
      <c r="X65" s="43">
        <f t="shared" si="17"/>
        <v>1</v>
      </c>
      <c r="Y65" s="44">
        <f t="shared" si="9"/>
        <v>11555</v>
      </c>
      <c r="Z65" s="44">
        <f t="shared" si="9"/>
        <v>9691</v>
      </c>
      <c r="AA65" s="44">
        <f t="shared" si="9"/>
        <v>8883</v>
      </c>
      <c r="AB65" s="44">
        <f t="shared" si="3"/>
        <v>14051</v>
      </c>
      <c r="AC65" s="44">
        <f t="shared" si="4"/>
        <v>-5344</v>
      </c>
      <c r="AD65" s="44">
        <f t="shared" si="5"/>
        <v>9165.057142857142</v>
      </c>
      <c r="AE65" s="45">
        <f t="shared" si="12"/>
        <v>0.37228354900756605</v>
      </c>
      <c r="AF65" s="46" t="str">
        <f t="shared" si="15"/>
        <v>Gas Natural</v>
      </c>
      <c r="AG65" s="49">
        <f t="shared" si="14"/>
        <v>54.3</v>
      </c>
      <c r="AH65" s="48">
        <f t="shared" si="13"/>
        <v>0.52508363724669227</v>
      </c>
    </row>
    <row r="66" spans="1:34" x14ac:dyDescent="0.25">
      <c r="A66" s="54" t="s">
        <v>97</v>
      </c>
      <c r="B66" s="36">
        <v>0.93</v>
      </c>
      <c r="C66" s="37">
        <v>26</v>
      </c>
      <c r="D66" s="36">
        <v>44</v>
      </c>
      <c r="E66" s="36">
        <v>1.3</v>
      </c>
      <c r="F66" s="55">
        <v>43.43</v>
      </c>
      <c r="G66" s="38">
        <v>911.2</v>
      </c>
      <c r="H66" s="39">
        <v>1.131</v>
      </c>
      <c r="I66" s="56">
        <v>1.2412203687445127</v>
      </c>
      <c r="J66" s="57">
        <v>11640</v>
      </c>
      <c r="K66" s="57">
        <v>9739</v>
      </c>
      <c r="L66" s="57">
        <v>8966</v>
      </c>
      <c r="M66" s="41">
        <v>3.306</v>
      </c>
      <c r="N66" s="36">
        <v>146.29884631584653</v>
      </c>
      <c r="O66" s="36">
        <v>11.217285421422256</v>
      </c>
      <c r="P66" s="36">
        <v>14.839440566652426</v>
      </c>
      <c r="Q66" s="36">
        <v>14.878417711608606</v>
      </c>
      <c r="R66" s="36">
        <v>14.95990108568029</v>
      </c>
      <c r="S66" s="36">
        <v>9.2920168384913282</v>
      </c>
      <c r="T66" s="36">
        <v>9.3234191147813981</v>
      </c>
      <c r="U66" s="36">
        <v>9.3890669047496722</v>
      </c>
      <c r="V66" s="42">
        <f t="shared" ref="V66:X70" si="18">+V65</f>
        <v>0.5</v>
      </c>
      <c r="W66" s="43">
        <f t="shared" si="18"/>
        <v>0.75</v>
      </c>
      <c r="X66" s="43">
        <f t="shared" si="18"/>
        <v>1</v>
      </c>
      <c r="Y66" s="44">
        <f t="shared" si="9"/>
        <v>11640</v>
      </c>
      <c r="Z66" s="44">
        <f t="shared" si="9"/>
        <v>9739</v>
      </c>
      <c r="AA66" s="44">
        <f t="shared" si="9"/>
        <v>8966</v>
      </c>
      <c r="AB66" s="44">
        <f t="shared" si="3"/>
        <v>14126</v>
      </c>
      <c r="AC66" s="44">
        <f t="shared" si="4"/>
        <v>-5348</v>
      </c>
      <c r="AD66" s="44">
        <f t="shared" si="5"/>
        <v>9236.4000000000015</v>
      </c>
      <c r="AE66" s="45">
        <f t="shared" si="12"/>
        <v>0.36940799445671468</v>
      </c>
      <c r="AF66" s="46" t="str">
        <f t="shared" si="15"/>
        <v>Gas Natural</v>
      </c>
      <c r="AG66" s="49">
        <f t="shared" si="14"/>
        <v>54.3</v>
      </c>
      <c r="AH66" s="48">
        <f t="shared" si="13"/>
        <v>0.52917100586166477</v>
      </c>
    </row>
    <row r="67" spans="1:34" x14ac:dyDescent="0.25">
      <c r="A67" s="54" t="s">
        <v>98</v>
      </c>
      <c r="B67" s="36">
        <v>0.61</v>
      </c>
      <c r="C67" s="37">
        <v>26</v>
      </c>
      <c r="D67" s="36">
        <v>44.33</v>
      </c>
      <c r="E67" s="36">
        <v>1.3</v>
      </c>
      <c r="F67" s="55">
        <v>43.75</v>
      </c>
      <c r="G67" s="38">
        <v>911.2</v>
      </c>
      <c r="H67" s="39">
        <v>1.131</v>
      </c>
      <c r="I67" s="56">
        <v>1.2412203687445127</v>
      </c>
      <c r="J67" s="57">
        <v>11536</v>
      </c>
      <c r="K67" s="57">
        <v>9756</v>
      </c>
      <c r="L67" s="57">
        <v>8964</v>
      </c>
      <c r="M67" s="41">
        <v>3.306</v>
      </c>
      <c r="N67" s="36">
        <v>142.44928675055991</v>
      </c>
      <c r="O67" s="36">
        <v>11.343021044776089</v>
      </c>
      <c r="P67" s="36">
        <v>14.843863678114989</v>
      </c>
      <c r="Q67" s="36">
        <v>14.882133759075714</v>
      </c>
      <c r="R67" s="36">
        <v>14.960321368558715</v>
      </c>
      <c r="S67" s="36">
        <v>9.2955803567624908</v>
      </c>
      <c r="T67" s="36">
        <v>9.3264129807867278</v>
      </c>
      <c r="U67" s="36">
        <v>9.389405509310965</v>
      </c>
      <c r="V67" s="42">
        <f t="shared" si="18"/>
        <v>0.5</v>
      </c>
      <c r="W67" s="43">
        <f t="shared" si="18"/>
        <v>0.75</v>
      </c>
      <c r="X67" s="43">
        <f t="shared" si="18"/>
        <v>1</v>
      </c>
      <c r="Y67" s="44">
        <f t="shared" si="9"/>
        <v>11536</v>
      </c>
      <c r="Z67" s="44">
        <f t="shared" si="9"/>
        <v>9756</v>
      </c>
      <c r="AA67" s="44">
        <f t="shared" si="9"/>
        <v>8964</v>
      </c>
      <c r="AB67" s="44">
        <f t="shared" si="3"/>
        <v>13943.333333333334</v>
      </c>
      <c r="AC67" s="44">
        <f t="shared" si="4"/>
        <v>-5144</v>
      </c>
      <c r="AD67" s="44">
        <f t="shared" si="5"/>
        <v>9240.2476190476191</v>
      </c>
      <c r="AE67" s="45">
        <f t="shared" si="12"/>
        <v>0.36925417376982272</v>
      </c>
      <c r="AF67" s="46" t="str">
        <f t="shared" si="15"/>
        <v>Gas Natural</v>
      </c>
      <c r="AG67" s="49">
        <f t="shared" si="14"/>
        <v>54.3</v>
      </c>
      <c r="AH67" s="48">
        <f t="shared" si="13"/>
        <v>0.5293914433093283</v>
      </c>
    </row>
    <row r="68" spans="1:34" x14ac:dyDescent="0.25">
      <c r="A68" s="54" t="s">
        <v>99</v>
      </c>
      <c r="B68" s="36">
        <v>0.68</v>
      </c>
      <c r="C68" s="37">
        <v>26</v>
      </c>
      <c r="D68" s="36">
        <v>44.55</v>
      </c>
      <c r="E68" s="36">
        <v>1.3</v>
      </c>
      <c r="F68" s="55">
        <v>43.97</v>
      </c>
      <c r="G68" s="38">
        <v>911.2</v>
      </c>
      <c r="H68" s="39">
        <v>1.131</v>
      </c>
      <c r="I68" s="56">
        <v>1.2412203687445127</v>
      </c>
      <c r="J68" s="57">
        <v>11649</v>
      </c>
      <c r="K68" s="57">
        <v>9800</v>
      </c>
      <c r="L68" s="57">
        <v>8976</v>
      </c>
      <c r="M68" s="41">
        <v>3.306</v>
      </c>
      <c r="N68" s="36">
        <v>148.79042866720945</v>
      </c>
      <c r="O68" s="36">
        <v>11.23111633999123</v>
      </c>
      <c r="P68" s="36">
        <v>14.869913812899261</v>
      </c>
      <c r="Q68" s="36">
        <v>14.90949529344511</v>
      </c>
      <c r="R68" s="36">
        <v>14.991299020486792</v>
      </c>
      <c r="S68" s="36">
        <v>9.3165678747248517</v>
      </c>
      <c r="T68" s="36">
        <v>9.3484570392459645</v>
      </c>
      <c r="U68" s="36">
        <v>9.4143629243745046</v>
      </c>
      <c r="V68" s="42">
        <f t="shared" si="18"/>
        <v>0.5</v>
      </c>
      <c r="W68" s="43">
        <f t="shared" si="18"/>
        <v>0.75</v>
      </c>
      <c r="X68" s="43">
        <f t="shared" si="18"/>
        <v>1</v>
      </c>
      <c r="Y68" s="44">
        <f t="shared" si="9"/>
        <v>11649</v>
      </c>
      <c r="Z68" s="44">
        <f t="shared" si="9"/>
        <v>9800</v>
      </c>
      <c r="AA68" s="44">
        <f t="shared" si="9"/>
        <v>8976</v>
      </c>
      <c r="AB68" s="44">
        <f t="shared" si="3"/>
        <v>14151.166666666668</v>
      </c>
      <c r="AC68" s="44">
        <f t="shared" si="4"/>
        <v>-5346.0000000000009</v>
      </c>
      <c r="AD68" s="44">
        <f t="shared" si="5"/>
        <v>9263.3952380952396</v>
      </c>
      <c r="AE68" s="45">
        <f t="shared" si="12"/>
        <v>0.36833147159351726</v>
      </c>
      <c r="AF68" s="46" t="str">
        <f t="shared" si="15"/>
        <v>Gas Natural</v>
      </c>
      <c r="AG68" s="49">
        <f t="shared" si="14"/>
        <v>54.3</v>
      </c>
      <c r="AH68" s="48">
        <f t="shared" si="13"/>
        <v>0.53071761463741429</v>
      </c>
    </row>
    <row r="69" spans="1:34" x14ac:dyDescent="0.25">
      <c r="A69" s="54" t="s">
        <v>100</v>
      </c>
      <c r="B69" s="36">
        <v>0.62</v>
      </c>
      <c r="C69" s="37">
        <v>26</v>
      </c>
      <c r="D69" s="36">
        <v>44</v>
      </c>
      <c r="E69" s="36">
        <v>1.3</v>
      </c>
      <c r="F69" s="55">
        <v>43.43</v>
      </c>
      <c r="G69" s="38">
        <v>911.2</v>
      </c>
      <c r="H69" s="39">
        <v>1.131</v>
      </c>
      <c r="I69" s="56">
        <v>1.2412203687445127</v>
      </c>
      <c r="J69" s="57">
        <v>11592</v>
      </c>
      <c r="K69" s="57">
        <v>9787</v>
      </c>
      <c r="L69" s="57">
        <v>8948</v>
      </c>
      <c r="M69" s="41">
        <v>3.306</v>
      </c>
      <c r="N69" s="36">
        <v>145.69028589881432</v>
      </c>
      <c r="O69" s="36">
        <v>11.232373696224776</v>
      </c>
      <c r="P69" s="36">
        <v>14.839461735314014</v>
      </c>
      <c r="Q69" s="36">
        <v>14.878276746745655</v>
      </c>
      <c r="R69" s="36">
        <v>14.959421173810203</v>
      </c>
      <c r="S69" s="36">
        <v>9.2920338932078952</v>
      </c>
      <c r="T69" s="36">
        <v>9.323305545211884</v>
      </c>
      <c r="U69" s="36">
        <v>9.3886802595719328</v>
      </c>
      <c r="V69" s="42">
        <f t="shared" si="18"/>
        <v>0.5</v>
      </c>
      <c r="W69" s="43">
        <f t="shared" si="18"/>
        <v>0.75</v>
      </c>
      <c r="X69" s="43">
        <f t="shared" si="18"/>
        <v>1</v>
      </c>
      <c r="Y69" s="44">
        <f t="shared" si="9"/>
        <v>11592</v>
      </c>
      <c r="Z69" s="44">
        <f t="shared" si="9"/>
        <v>9787</v>
      </c>
      <c r="AA69" s="44">
        <f t="shared" si="9"/>
        <v>8948</v>
      </c>
      <c r="AB69" s="44">
        <f t="shared" si="3"/>
        <v>14075</v>
      </c>
      <c r="AC69" s="44">
        <f t="shared" si="4"/>
        <v>-5288.0000000000009</v>
      </c>
      <c r="AD69" s="44">
        <f t="shared" si="5"/>
        <v>9240.2571428571428</v>
      </c>
      <c r="AE69" s="45">
        <f t="shared" si="12"/>
        <v>0.36925379318448159</v>
      </c>
      <c r="AF69" s="46" t="str">
        <f t="shared" si="15"/>
        <v>Gas Natural</v>
      </c>
      <c r="AG69" s="49">
        <f t="shared" si="14"/>
        <v>54.3</v>
      </c>
      <c r="AH69" s="48">
        <f t="shared" si="13"/>
        <v>0.52939198894657502</v>
      </c>
    </row>
    <row r="70" spans="1:34" ht="13.8" thickBot="1" x14ac:dyDescent="0.3">
      <c r="A70" s="54" t="s">
        <v>101</v>
      </c>
      <c r="B70" s="36">
        <v>18.559999999999999</v>
      </c>
      <c r="C70" s="59">
        <v>28</v>
      </c>
      <c r="D70" s="36">
        <v>1.39</v>
      </c>
      <c r="E70" s="36">
        <v>4.9000000000000004</v>
      </c>
      <c r="F70" s="36">
        <v>1.3199999999999998</v>
      </c>
      <c r="G70" s="57">
        <v>37289</v>
      </c>
      <c r="H70" s="39">
        <v>0.46500000000000002</v>
      </c>
      <c r="I70" s="39">
        <v>12.470165464346055</v>
      </c>
      <c r="J70" s="40">
        <v>10530</v>
      </c>
      <c r="K70" s="40">
        <v>9321</v>
      </c>
      <c r="L70" s="40">
        <v>8918</v>
      </c>
      <c r="M70" s="41">
        <v>21.405999999999999</v>
      </c>
      <c r="N70" s="36">
        <v>28.70014973618218</v>
      </c>
      <c r="O70" s="36">
        <v>116.97727329775522</v>
      </c>
      <c r="P70" s="36">
        <v>140.31072836782201</v>
      </c>
      <c r="Q70" s="36">
        <v>140.69640531112893</v>
      </c>
      <c r="R70" s="36">
        <v>141.09504618530326</v>
      </c>
      <c r="S70" s="36">
        <v>9.5351363787262677</v>
      </c>
      <c r="T70" s="36">
        <v>9.5660643519283575</v>
      </c>
      <c r="U70" s="36">
        <v>9.598031920868328</v>
      </c>
      <c r="V70" s="60">
        <f t="shared" si="18"/>
        <v>0.5</v>
      </c>
      <c r="W70" s="61">
        <f t="shared" si="18"/>
        <v>0.75</v>
      </c>
      <c r="X70" s="61">
        <f t="shared" si="18"/>
        <v>1</v>
      </c>
      <c r="Y70" s="62">
        <f t="shared" ref="Y70:AA70" si="19">+J70</f>
        <v>10530</v>
      </c>
      <c r="Z70" s="62">
        <f t="shared" si="19"/>
        <v>9321</v>
      </c>
      <c r="AA70" s="62">
        <f t="shared" si="19"/>
        <v>8918</v>
      </c>
      <c r="AB70" s="62">
        <f t="shared" si="3"/>
        <v>12007.666666666666</v>
      </c>
      <c r="AC70" s="62">
        <f t="shared" si="4"/>
        <v>-3223.9999999999995</v>
      </c>
      <c r="AD70" s="62">
        <f t="shared" si="5"/>
        <v>9060.0095238095237</v>
      </c>
      <c r="AE70" s="63">
        <f t="shared" si="12"/>
        <v>0.37660004562173277</v>
      </c>
      <c r="AF70" s="64" t="s">
        <v>102</v>
      </c>
      <c r="AG70" s="65">
        <v>72.599999999999994</v>
      </c>
      <c r="AH70" s="66">
        <f t="shared" si="13"/>
        <v>0.69399885379333448</v>
      </c>
    </row>
    <row r="74" spans="1:34" ht="13.2" customHeight="1" x14ac:dyDescent="0.25">
      <c r="A74" s="67" t="s">
        <v>103</v>
      </c>
    </row>
    <row r="75" spans="1:34" ht="13.8" customHeight="1" x14ac:dyDescent="0.25">
      <c r="A75" s="68" t="s">
        <v>104</v>
      </c>
    </row>
  </sheetData>
  <mergeCells count="28">
    <mergeCell ref="P12:R13"/>
    <mergeCell ref="A5:U5"/>
    <mergeCell ref="A7:U7"/>
    <mergeCell ref="A8:U8"/>
    <mergeCell ref="A10:U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M12:M13"/>
    <mergeCell ref="N12:O13"/>
    <mergeCell ref="AG12:AG13"/>
    <mergeCell ref="AH12:AH13"/>
    <mergeCell ref="S13:U13"/>
    <mergeCell ref="V13:X13"/>
    <mergeCell ref="Y13:AA13"/>
    <mergeCell ref="AE13:AE14"/>
    <mergeCell ref="S12:U12"/>
    <mergeCell ref="V12:X12"/>
    <mergeCell ref="Y12:AA12"/>
    <mergeCell ref="AB12:AC13"/>
    <mergeCell ref="AD12:AD13"/>
    <mergeCell ref="AF12:AF14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zoomScaleNormal="100" workbookViewId="0">
      <selection activeCell="E11" sqref="E11"/>
    </sheetView>
  </sheetViews>
  <sheetFormatPr baseColWidth="10" defaultColWidth="11.44140625" defaultRowHeight="11.4" x14ac:dyDescent="0.2"/>
  <cols>
    <col min="1" max="1" width="20.6640625" style="114" customWidth="1"/>
    <col min="2" max="2" width="8.21875" style="111" customWidth="1"/>
    <col min="3" max="10" width="10.6640625" style="111" customWidth="1"/>
    <col min="11" max="16384" width="11.44140625" style="111"/>
  </cols>
  <sheetData>
    <row r="1" spans="1:10" ht="13.8" x14ac:dyDescent="0.3">
      <c r="A1" s="110"/>
    </row>
    <row r="4" spans="1:10" ht="13.2" x14ac:dyDescent="0.25">
      <c r="A4" s="112" t="s">
        <v>386</v>
      </c>
    </row>
    <row r="5" spans="1:10" ht="13.2" x14ac:dyDescent="0.25">
      <c r="A5" s="112"/>
      <c r="C5" s="113"/>
      <c r="D5" s="113"/>
      <c r="E5" s="113"/>
      <c r="F5" s="113"/>
      <c r="G5" s="113"/>
      <c r="H5" s="113"/>
      <c r="I5" s="113"/>
    </row>
    <row r="6" spans="1:10" ht="12" thickBot="1" x14ac:dyDescent="0.25">
      <c r="C6" s="113"/>
      <c r="D6" s="113"/>
      <c r="E6" s="113"/>
      <c r="F6" s="113"/>
      <c r="G6" s="113"/>
      <c r="H6" s="113"/>
      <c r="I6" s="113"/>
    </row>
    <row r="7" spans="1:10" ht="12" thickBot="1" x14ac:dyDescent="0.25">
      <c r="A7" s="115"/>
      <c r="B7" s="115"/>
      <c r="C7" s="116">
        <v>2010</v>
      </c>
      <c r="D7" s="116">
        <v>2011</v>
      </c>
      <c r="E7" s="116">
        <v>2012</v>
      </c>
      <c r="F7" s="116">
        <v>2013</v>
      </c>
      <c r="G7" s="116">
        <v>2014</v>
      </c>
      <c r="H7" s="116">
        <v>2015</v>
      </c>
      <c r="I7" s="116">
        <v>2016</v>
      </c>
      <c r="J7" s="116">
        <v>2017</v>
      </c>
    </row>
    <row r="8" spans="1:10" ht="12" thickBot="1" x14ac:dyDescent="0.25">
      <c r="A8" s="117" t="s">
        <v>387</v>
      </c>
      <c r="B8" s="118"/>
      <c r="C8" s="118"/>
      <c r="D8" s="118"/>
      <c r="E8" s="118"/>
      <c r="F8" s="118"/>
      <c r="G8" s="118"/>
      <c r="H8" s="118"/>
      <c r="I8" s="118"/>
      <c r="J8" s="119"/>
    </row>
    <row r="9" spans="1:10" ht="16.5" customHeight="1" x14ac:dyDescent="0.2">
      <c r="A9" s="120" t="s">
        <v>388</v>
      </c>
      <c r="B9" s="121" t="s">
        <v>283</v>
      </c>
      <c r="C9" s="122">
        <v>280767.663</v>
      </c>
      <c r="D9" s="122">
        <v>317689.14</v>
      </c>
      <c r="E9" s="122">
        <v>325459.11999999994</v>
      </c>
      <c r="F9" s="122">
        <v>373791.26</v>
      </c>
      <c r="G9" s="122">
        <v>371305.77999999997</v>
      </c>
      <c r="H9" s="122">
        <v>377176.696</v>
      </c>
      <c r="I9" s="122">
        <v>214629.93900000001</v>
      </c>
      <c r="J9" s="123">
        <v>284284.71100000001</v>
      </c>
    </row>
    <row r="10" spans="1:10" ht="16.5" customHeight="1" x14ac:dyDescent="0.2">
      <c r="A10" s="120" t="s">
        <v>389</v>
      </c>
      <c r="B10" s="121" t="s">
        <v>320</v>
      </c>
      <c r="C10" s="122">
        <v>418380.17099999997</v>
      </c>
      <c r="D10" s="122">
        <v>477614.6</v>
      </c>
      <c r="E10" s="122">
        <v>485267.32000000007</v>
      </c>
      <c r="F10" s="122">
        <v>555713.26</v>
      </c>
      <c r="G10" s="122">
        <v>552076.43999999994</v>
      </c>
      <c r="H10" s="122">
        <v>560551.92799999996</v>
      </c>
      <c r="I10" s="122">
        <v>330698.88400000002</v>
      </c>
      <c r="J10" s="123">
        <v>431404.26799999998</v>
      </c>
    </row>
    <row r="11" spans="1:10" ht="16.5" customHeight="1" x14ac:dyDescent="0.2">
      <c r="A11" s="120" t="s">
        <v>390</v>
      </c>
      <c r="B11" s="121" t="s">
        <v>330</v>
      </c>
      <c r="C11" s="122">
        <v>11345.115999999998</v>
      </c>
      <c r="D11" s="122">
        <v>11062.147000000001</v>
      </c>
      <c r="E11" s="122">
        <v>9730.2360000000008</v>
      </c>
      <c r="F11" s="122">
        <v>8366.9229999999989</v>
      </c>
      <c r="G11" s="122">
        <v>9230.8360000000011</v>
      </c>
      <c r="H11" s="122">
        <v>9970.2779999999984</v>
      </c>
      <c r="I11" s="122">
        <v>9497.0040000000008</v>
      </c>
      <c r="J11" s="123">
        <v>10212.421999999999</v>
      </c>
    </row>
    <row r="12" spans="1:10" ht="16.5" customHeight="1" x14ac:dyDescent="0.2">
      <c r="A12" s="120" t="s">
        <v>391</v>
      </c>
      <c r="B12" s="121" t="s">
        <v>326</v>
      </c>
      <c r="C12" s="122">
        <v>8884.2089999999989</v>
      </c>
      <c r="D12" s="122">
        <v>15926.226000000001</v>
      </c>
      <c r="E12" s="122">
        <v>12913.739999999998</v>
      </c>
      <c r="F12" s="122">
        <v>11358.185999999998</v>
      </c>
      <c r="G12" s="122">
        <v>10445.099</v>
      </c>
      <c r="H12" s="122">
        <v>12813.867</v>
      </c>
      <c r="I12" s="122">
        <v>6632.0620000000017</v>
      </c>
      <c r="J12" s="123">
        <v>11241.978999999999</v>
      </c>
    </row>
    <row r="13" spans="1:10" ht="16.5" customHeight="1" x14ac:dyDescent="0.2">
      <c r="A13" s="120" t="s">
        <v>392</v>
      </c>
      <c r="B13" s="121" t="s">
        <v>263</v>
      </c>
      <c r="C13" s="122">
        <v>7849.8739999999998</v>
      </c>
      <c r="D13" s="122">
        <v>8621.2659999999996</v>
      </c>
      <c r="E13" s="122">
        <v>8717.6899999999987</v>
      </c>
      <c r="F13" s="122">
        <v>8548.19</v>
      </c>
      <c r="G13" s="122">
        <v>6937.6459999999988</v>
      </c>
      <c r="H13" s="122">
        <v>8959.4909999999982</v>
      </c>
      <c r="I13" s="122">
        <v>5032.6009999999997</v>
      </c>
      <c r="J13" s="123">
        <v>8563.4409999999989</v>
      </c>
    </row>
    <row r="14" spans="1:10" x14ac:dyDescent="0.2">
      <c r="A14" s="120"/>
      <c r="B14" s="121" t="s">
        <v>264</v>
      </c>
      <c r="C14" s="122">
        <v>6640.692</v>
      </c>
      <c r="D14" s="122">
        <v>7153.3130000000001</v>
      </c>
      <c r="E14" s="122">
        <v>7359.0120000000006</v>
      </c>
      <c r="F14" s="122">
        <v>7028.0189999999984</v>
      </c>
      <c r="G14" s="122">
        <v>5548.0110000000004</v>
      </c>
      <c r="H14" s="122">
        <v>7037.5190000000011</v>
      </c>
      <c r="I14" s="122">
        <v>3451.9039999999995</v>
      </c>
      <c r="J14" s="123">
        <v>6239.6179999999995</v>
      </c>
    </row>
    <row r="15" spans="1:10" x14ac:dyDescent="0.2">
      <c r="A15" s="120"/>
      <c r="B15" s="121" t="s">
        <v>265</v>
      </c>
      <c r="C15" s="122">
        <v>21561.253000000001</v>
      </c>
      <c r="D15" s="122">
        <v>20814.348000000002</v>
      </c>
      <c r="E15" s="122">
        <v>22706.515999999996</v>
      </c>
      <c r="F15" s="122">
        <v>22174.722999999998</v>
      </c>
      <c r="G15" s="122">
        <v>20967.522999999997</v>
      </c>
      <c r="H15" s="122">
        <v>23605.780999999999</v>
      </c>
      <c r="I15" s="122">
        <v>18889.346000000001</v>
      </c>
      <c r="J15" s="123">
        <v>20402.677000000003</v>
      </c>
    </row>
    <row r="16" spans="1:10" ht="16.5" customHeight="1" x14ac:dyDescent="0.2">
      <c r="A16" s="120" t="s">
        <v>393</v>
      </c>
      <c r="B16" s="121" t="s">
        <v>286</v>
      </c>
      <c r="C16" s="122">
        <v>7186.3240000000005</v>
      </c>
      <c r="D16" s="122">
        <v>9743.3469999999998</v>
      </c>
      <c r="E16" s="122">
        <v>9415.1349999999984</v>
      </c>
      <c r="F16" s="122">
        <v>6458.4300000000012</v>
      </c>
      <c r="G16" s="122">
        <v>5475.3140000000012</v>
      </c>
      <c r="H16" s="122">
        <v>14181.028999999999</v>
      </c>
      <c r="I16" s="122">
        <v>4440.6810000000005</v>
      </c>
      <c r="J16" s="123">
        <v>9498.8819999999996</v>
      </c>
    </row>
    <row r="17" spans="1:10" x14ac:dyDescent="0.2">
      <c r="A17" s="120"/>
      <c r="B17" s="121" t="s">
        <v>287</v>
      </c>
      <c r="C17" s="122">
        <v>6993.1389999999992</v>
      </c>
      <c r="D17" s="122">
        <v>9282.0769999999993</v>
      </c>
      <c r="E17" s="122">
        <v>8698.5240000000013</v>
      </c>
      <c r="F17" s="122">
        <v>5753.3399999999992</v>
      </c>
      <c r="G17" s="122">
        <v>4912.893</v>
      </c>
      <c r="H17" s="122">
        <v>12898.888999999999</v>
      </c>
      <c r="I17" s="122">
        <v>5619.9069999999992</v>
      </c>
      <c r="J17" s="123">
        <v>9023.6689999999999</v>
      </c>
    </row>
    <row r="18" spans="1:10" x14ac:dyDescent="0.2">
      <c r="A18" s="120"/>
      <c r="B18" s="121" t="s">
        <v>288</v>
      </c>
      <c r="C18" s="122">
        <v>6822.6170000000011</v>
      </c>
      <c r="D18" s="122">
        <v>9067.5030000000006</v>
      </c>
      <c r="E18" s="122">
        <v>8820.1739999999991</v>
      </c>
      <c r="F18" s="122">
        <v>6045.0469999999987</v>
      </c>
      <c r="G18" s="122">
        <v>5060.7860000000001</v>
      </c>
      <c r="H18" s="122">
        <v>13386.753999999999</v>
      </c>
      <c r="I18" s="122">
        <v>5422.3110000000006</v>
      </c>
      <c r="J18" s="123">
        <v>8865.5539999999983</v>
      </c>
    </row>
    <row r="19" spans="1:10" x14ac:dyDescent="0.2">
      <c r="A19" s="120"/>
      <c r="B19" s="121" t="s">
        <v>289</v>
      </c>
      <c r="C19" s="122">
        <v>5297.4830000000002</v>
      </c>
      <c r="D19" s="122">
        <v>6581.7929999999997</v>
      </c>
      <c r="E19" s="122">
        <v>6336.6400000000012</v>
      </c>
      <c r="F19" s="122">
        <v>4570.0379999999996</v>
      </c>
      <c r="G19" s="122">
        <v>3245.1849999999999</v>
      </c>
      <c r="H19" s="122">
        <v>6687.3670912745001</v>
      </c>
      <c r="I19" s="122">
        <v>2561.4390000000003</v>
      </c>
      <c r="J19" s="123">
        <v>4531.527000000001</v>
      </c>
    </row>
    <row r="20" spans="1:10" x14ac:dyDescent="0.2">
      <c r="A20" s="120"/>
      <c r="B20" s="121" t="s">
        <v>290</v>
      </c>
      <c r="C20" s="122">
        <v>90321.68</v>
      </c>
      <c r="D20" s="122">
        <v>94885.142000000007</v>
      </c>
      <c r="E20" s="122">
        <v>92591.819999999992</v>
      </c>
      <c r="F20" s="122">
        <v>80968.934000000008</v>
      </c>
      <c r="G20" s="122">
        <v>71783.653000000006</v>
      </c>
      <c r="H20" s="122">
        <v>80462.043000000005</v>
      </c>
      <c r="I20" s="122">
        <v>75993.778999999995</v>
      </c>
      <c r="J20" s="123">
        <v>96164.228000000003</v>
      </c>
    </row>
    <row r="21" spans="1:10" ht="16.5" customHeight="1" x14ac:dyDescent="0.2">
      <c r="A21" s="120" t="s">
        <v>394</v>
      </c>
      <c r="B21" s="121" t="s">
        <v>323</v>
      </c>
      <c r="C21" s="122">
        <v>35381.828000000001</v>
      </c>
      <c r="D21" s="122">
        <v>40391.101000000002</v>
      </c>
      <c r="E21" s="122">
        <v>32300.107999999997</v>
      </c>
      <c r="F21" s="122">
        <v>36699.025999999998</v>
      </c>
      <c r="G21" s="122">
        <v>35041.322</v>
      </c>
      <c r="H21" s="122">
        <v>38808.311000000002</v>
      </c>
      <c r="I21" s="122">
        <v>27181.951999999997</v>
      </c>
      <c r="J21" s="123">
        <v>38544.047999999995</v>
      </c>
    </row>
    <row r="22" spans="1:10" x14ac:dyDescent="0.2">
      <c r="A22" s="120"/>
      <c r="B22" s="121" t="s">
        <v>324</v>
      </c>
      <c r="C22" s="122">
        <v>43128.714000000007</v>
      </c>
      <c r="D22" s="122">
        <v>46044.358999999997</v>
      </c>
      <c r="E22" s="122">
        <v>43194.46</v>
      </c>
      <c r="F22" s="122">
        <v>45291.724999999999</v>
      </c>
      <c r="G22" s="122">
        <v>48557.090000000004</v>
      </c>
      <c r="H22" s="122">
        <v>47305.845000000001</v>
      </c>
      <c r="I22" s="122">
        <v>39690.658000000003</v>
      </c>
      <c r="J22" s="123">
        <v>47225.397999999994</v>
      </c>
    </row>
    <row r="23" spans="1:10" ht="16.5" customHeight="1" x14ac:dyDescent="0.2">
      <c r="A23" s="120" t="s">
        <v>395</v>
      </c>
      <c r="B23" s="121" t="s">
        <v>315</v>
      </c>
      <c r="C23" s="122">
        <v>66898.476999999999</v>
      </c>
      <c r="D23" s="122">
        <v>71701.509999999995</v>
      </c>
      <c r="E23" s="122">
        <v>68123.947000000015</v>
      </c>
      <c r="F23" s="122">
        <v>70554.083999999988</v>
      </c>
      <c r="G23" s="122">
        <v>15429.729000000001</v>
      </c>
      <c r="H23" s="122">
        <v>23543.032999999996</v>
      </c>
      <c r="I23" s="122">
        <v>53982.859000000004</v>
      </c>
      <c r="J23" s="123">
        <v>69211.264999999999</v>
      </c>
    </row>
    <row r="24" spans="1:10" ht="16.5" customHeight="1" x14ac:dyDescent="0.2">
      <c r="A24" s="120" t="s">
        <v>396</v>
      </c>
      <c r="B24" s="121" t="s">
        <v>280</v>
      </c>
      <c r="C24" s="122">
        <v>63528.492000000006</v>
      </c>
      <c r="D24" s="122">
        <v>66072.78</v>
      </c>
      <c r="E24" s="122">
        <v>69551.442999999999</v>
      </c>
      <c r="F24" s="122">
        <v>71908.643000000011</v>
      </c>
      <c r="G24" s="122">
        <v>64762.602000000014</v>
      </c>
      <c r="H24" s="122">
        <v>71255.490000000005</v>
      </c>
      <c r="I24" s="122">
        <v>53061.766000000011</v>
      </c>
      <c r="J24" s="123">
        <v>68171.011999999988</v>
      </c>
    </row>
    <row r="25" spans="1:10" x14ac:dyDescent="0.2">
      <c r="A25" s="120"/>
      <c r="B25" s="121" t="s">
        <v>281</v>
      </c>
      <c r="C25" s="122">
        <v>62589.967000000004</v>
      </c>
      <c r="D25" s="122">
        <v>67733.377999999997</v>
      </c>
      <c r="E25" s="122">
        <v>64736.137999999999</v>
      </c>
      <c r="F25" s="122">
        <v>72200.594999999987</v>
      </c>
      <c r="G25" s="122">
        <v>62725.933999999994</v>
      </c>
      <c r="H25" s="122">
        <v>67719.197</v>
      </c>
      <c r="I25" s="122">
        <v>53897.992999999995</v>
      </c>
      <c r="J25" s="123">
        <v>66329.928</v>
      </c>
    </row>
    <row r="26" spans="1:10" ht="16.5" customHeight="1" x14ac:dyDescent="0.2">
      <c r="A26" s="120" t="s">
        <v>397</v>
      </c>
      <c r="B26" s="121" t="s">
        <v>292</v>
      </c>
      <c r="C26" s="122">
        <v>79080.590999999986</v>
      </c>
      <c r="D26" s="122">
        <v>83215.97</v>
      </c>
      <c r="E26" s="122">
        <v>78452.136999999988</v>
      </c>
      <c r="F26" s="122">
        <v>86076.892000000022</v>
      </c>
      <c r="G26" s="122">
        <v>78528.325000000012</v>
      </c>
      <c r="H26" s="122">
        <v>81849.416999999987</v>
      </c>
      <c r="I26" s="122">
        <v>63047.572</v>
      </c>
      <c r="J26" s="123">
        <v>79535.85500000001</v>
      </c>
    </row>
    <row r="27" spans="1:10" x14ac:dyDescent="0.2">
      <c r="A27" s="120"/>
      <c r="B27" s="121" t="s">
        <v>293</v>
      </c>
      <c r="C27" s="122">
        <v>77042.933999999994</v>
      </c>
      <c r="D27" s="122">
        <v>78275.415999999997</v>
      </c>
      <c r="E27" s="122">
        <v>73415.542000000016</v>
      </c>
      <c r="F27" s="122">
        <v>79960.05799999999</v>
      </c>
      <c r="G27" s="122">
        <v>77429.541999999987</v>
      </c>
      <c r="H27" s="122">
        <v>80452.606</v>
      </c>
      <c r="I27" s="122">
        <v>61868.472999999998</v>
      </c>
      <c r="J27" s="123">
        <v>81530.162000000011</v>
      </c>
    </row>
    <row r="28" spans="1:10" ht="16.5" customHeight="1" x14ac:dyDescent="0.2">
      <c r="A28" s="120" t="s">
        <v>398</v>
      </c>
      <c r="B28" s="121" t="s">
        <v>267</v>
      </c>
      <c r="C28" s="122">
        <v>79039.576000000001</v>
      </c>
      <c r="D28" s="122">
        <v>58254.008999999998</v>
      </c>
      <c r="E28" s="122">
        <v>51281.207999999999</v>
      </c>
      <c r="F28" s="122">
        <v>86457.891000000003</v>
      </c>
      <c r="G28" s="122">
        <v>85493.885999999984</v>
      </c>
      <c r="H28" s="122">
        <v>81648.601999999999</v>
      </c>
      <c r="I28" s="122">
        <v>62691.474999999999</v>
      </c>
      <c r="J28" s="123">
        <v>85854.238000000012</v>
      </c>
    </row>
    <row r="29" spans="1:10" x14ac:dyDescent="0.2">
      <c r="A29" s="120"/>
      <c r="B29" s="121" t="s">
        <v>268</v>
      </c>
      <c r="C29" s="122">
        <v>81435.836999999985</v>
      </c>
      <c r="D29" s="122">
        <v>91507.437000000005</v>
      </c>
      <c r="E29" s="122">
        <v>83285.340000000011</v>
      </c>
      <c r="F29" s="122">
        <v>84764.018000000011</v>
      </c>
      <c r="G29" s="122">
        <v>77185.930999999997</v>
      </c>
      <c r="H29" s="122">
        <v>81079.112999999998</v>
      </c>
      <c r="I29" s="122">
        <v>67549.632999999987</v>
      </c>
      <c r="J29" s="123">
        <v>83617.593000000008</v>
      </c>
    </row>
    <row r="30" spans="1:10" ht="16.5" customHeight="1" x14ac:dyDescent="0.2">
      <c r="A30" s="120" t="s">
        <v>399</v>
      </c>
      <c r="B30" s="121" t="s">
        <v>295</v>
      </c>
      <c r="C30" s="122">
        <v>95760.286999999982</v>
      </c>
      <c r="D30" s="122">
        <v>95144.05</v>
      </c>
      <c r="E30" s="122">
        <v>95119.72</v>
      </c>
      <c r="F30" s="122">
        <v>105447.58899999999</v>
      </c>
      <c r="G30" s="122">
        <v>99009.819000000003</v>
      </c>
      <c r="H30" s="122">
        <v>86632.661000000007</v>
      </c>
      <c r="I30" s="122">
        <v>79958.990999999995</v>
      </c>
      <c r="J30" s="123">
        <v>91011.156999999992</v>
      </c>
    </row>
    <row r="31" spans="1:10" x14ac:dyDescent="0.2">
      <c r="A31" s="120"/>
      <c r="B31" s="121" t="s">
        <v>296</v>
      </c>
      <c r="C31" s="122">
        <v>93799.604999999996</v>
      </c>
      <c r="D31" s="122">
        <v>98539.03</v>
      </c>
      <c r="E31" s="122">
        <v>94138.09</v>
      </c>
      <c r="F31" s="122">
        <v>99492.22</v>
      </c>
      <c r="G31" s="122">
        <v>99241.433000000005</v>
      </c>
      <c r="H31" s="122">
        <v>93811.007999999987</v>
      </c>
      <c r="I31" s="122">
        <v>82387.252999999997</v>
      </c>
      <c r="J31" s="123">
        <v>99447.379000000015</v>
      </c>
    </row>
    <row r="32" spans="1:10" ht="16.5" customHeight="1" x14ac:dyDescent="0.2">
      <c r="A32" s="120" t="s">
        <v>400</v>
      </c>
      <c r="B32" s="121" t="s">
        <v>305</v>
      </c>
      <c r="C32" s="122">
        <v>4114</v>
      </c>
      <c r="D32" s="122">
        <v>4554.1049999999996</v>
      </c>
      <c r="E32" s="122">
        <v>4812.643</v>
      </c>
      <c r="F32" s="122">
        <v>4552.4240000000009</v>
      </c>
      <c r="G32" s="122">
        <v>4384.4089999999997</v>
      </c>
      <c r="H32" s="122">
        <v>4376.9049999999997</v>
      </c>
      <c r="I32" s="122">
        <v>3466.1080000000002</v>
      </c>
      <c r="J32" s="123">
        <v>4191.5759999999991</v>
      </c>
    </row>
    <row r="33" spans="1:12" x14ac:dyDescent="0.2">
      <c r="A33" s="120"/>
      <c r="B33" s="121" t="s">
        <v>306</v>
      </c>
      <c r="C33" s="122">
        <v>4195</v>
      </c>
      <c r="D33" s="122">
        <v>4563.4110000000001</v>
      </c>
      <c r="E33" s="122">
        <v>4781.6249999999973</v>
      </c>
      <c r="F33" s="122">
        <v>4698.2270000000008</v>
      </c>
      <c r="G33" s="122">
        <v>4197.7930000000006</v>
      </c>
      <c r="H33" s="122">
        <v>4145.2669999999998</v>
      </c>
      <c r="I33" s="122">
        <v>3329.4500000000003</v>
      </c>
      <c r="J33" s="123">
        <v>4038.616</v>
      </c>
    </row>
    <row r="34" spans="1:12" ht="16.5" customHeight="1" x14ac:dyDescent="0.2">
      <c r="A34" s="120" t="s">
        <v>401</v>
      </c>
      <c r="B34" s="121" t="s">
        <v>259</v>
      </c>
      <c r="C34" s="122">
        <v>9271.0999999999949</v>
      </c>
      <c r="D34" s="122">
        <v>8656.5849999999991</v>
      </c>
      <c r="E34" s="122">
        <v>10232.768999999998</v>
      </c>
      <c r="F34" s="122">
        <v>8655.150999999998</v>
      </c>
      <c r="G34" s="122">
        <v>8364.82</v>
      </c>
      <c r="H34" s="122">
        <v>8059.2840000000015</v>
      </c>
      <c r="I34" s="122">
        <v>8299.025999999998</v>
      </c>
      <c r="J34" s="123">
        <v>7068.2120000000004</v>
      </c>
    </row>
    <row r="35" spans="1:12" x14ac:dyDescent="0.2">
      <c r="A35" s="120"/>
      <c r="B35" s="121" t="s">
        <v>260</v>
      </c>
      <c r="C35" s="122">
        <v>4843.4999999999982</v>
      </c>
      <c r="D35" s="122">
        <v>5139.1980000000003</v>
      </c>
      <c r="E35" s="122">
        <v>4981.5259999999998</v>
      </c>
      <c r="F35" s="122">
        <v>3998.6959999999999</v>
      </c>
      <c r="G35" s="122">
        <v>4087.8379999999997</v>
      </c>
      <c r="H35" s="122">
        <v>3992.585</v>
      </c>
      <c r="I35" s="122">
        <v>2863.16</v>
      </c>
      <c r="J35" s="123">
        <v>3531.5559999999991</v>
      </c>
    </row>
    <row r="36" spans="1:12" x14ac:dyDescent="0.2">
      <c r="A36" s="120"/>
      <c r="B36" s="121" t="s">
        <v>261</v>
      </c>
      <c r="C36" s="122">
        <v>5760.9160000000011</v>
      </c>
      <c r="D36" s="122">
        <v>6575.5169999999998</v>
      </c>
      <c r="E36" s="122">
        <v>7386.07</v>
      </c>
      <c r="F36" s="122">
        <v>6891.6029999999992</v>
      </c>
      <c r="G36" s="122">
        <v>6808.925000000002</v>
      </c>
      <c r="H36" s="122">
        <v>6644.1160000000018</v>
      </c>
      <c r="I36" s="122">
        <v>5656.7429999999995</v>
      </c>
      <c r="J36" s="123">
        <v>6833.0870000000014</v>
      </c>
    </row>
    <row r="37" spans="1:12" ht="16.5" customHeight="1" x14ac:dyDescent="0.2">
      <c r="A37" s="120" t="s">
        <v>402</v>
      </c>
      <c r="B37" s="121" t="s">
        <v>276</v>
      </c>
      <c r="C37" s="122">
        <v>12172.712</v>
      </c>
      <c r="D37" s="122">
        <v>11726.216</v>
      </c>
      <c r="E37" s="122">
        <v>12408.229999999998</v>
      </c>
      <c r="F37" s="122">
        <v>12482.189999999999</v>
      </c>
      <c r="G37" s="122">
        <v>11577.643</v>
      </c>
      <c r="H37" s="122">
        <v>11539.983</v>
      </c>
      <c r="I37" s="122">
        <v>9108.7590000000018</v>
      </c>
      <c r="J37" s="123">
        <v>10812.361999999999</v>
      </c>
    </row>
    <row r="38" spans="1:12" x14ac:dyDescent="0.2">
      <c r="A38" s="120"/>
      <c r="B38" s="121" t="s">
        <v>277</v>
      </c>
      <c r="C38" s="122">
        <v>14106.915000000001</v>
      </c>
      <c r="D38" s="122">
        <v>13902.388999999999</v>
      </c>
      <c r="E38" s="122">
        <v>15012.157999999999</v>
      </c>
      <c r="F38" s="122">
        <v>15518.906999999997</v>
      </c>
      <c r="G38" s="122">
        <v>14227.504000000001</v>
      </c>
      <c r="H38" s="122">
        <v>14778.668000000003</v>
      </c>
      <c r="I38" s="122">
        <v>11847.556</v>
      </c>
      <c r="J38" s="123">
        <v>13785.387999999999</v>
      </c>
    </row>
    <row r="39" spans="1:12" x14ac:dyDescent="0.2">
      <c r="A39" s="120"/>
      <c r="B39" s="121" t="s">
        <v>278</v>
      </c>
      <c r="C39" s="122">
        <v>11843.383000000002</v>
      </c>
      <c r="D39" s="122">
        <v>11428.677</v>
      </c>
      <c r="E39" s="122">
        <v>12088.935999999998</v>
      </c>
      <c r="F39" s="122">
        <v>12150.215</v>
      </c>
      <c r="G39" s="122">
        <v>11142.393000000002</v>
      </c>
      <c r="H39" s="122">
        <v>11178.842000000001</v>
      </c>
      <c r="I39" s="122">
        <v>9006.9719999999979</v>
      </c>
      <c r="J39" s="123">
        <v>10677.777000000002</v>
      </c>
    </row>
    <row r="40" spans="1:12" ht="16.5" customHeight="1" x14ac:dyDescent="0.2">
      <c r="A40" s="120" t="s">
        <v>403</v>
      </c>
      <c r="B40" s="121" t="s">
        <v>270</v>
      </c>
      <c r="C40" s="122">
        <v>43231.955000000002</v>
      </c>
      <c r="D40" s="122">
        <v>41999.478999999999</v>
      </c>
      <c r="E40" s="122">
        <v>43164.040999999997</v>
      </c>
      <c r="F40" s="122">
        <v>45495.326000000001</v>
      </c>
      <c r="G40" s="122">
        <v>43258.477999999996</v>
      </c>
      <c r="H40" s="122">
        <v>41867.756999999991</v>
      </c>
      <c r="I40" s="122">
        <v>36040.239999999998</v>
      </c>
      <c r="J40" s="123">
        <v>41074.044999999998</v>
      </c>
    </row>
    <row r="41" spans="1:12" ht="16.5" customHeight="1" x14ac:dyDescent="0.2">
      <c r="A41" s="120" t="s">
        <v>404</v>
      </c>
      <c r="B41" s="121" t="s">
        <v>273</v>
      </c>
      <c r="C41" s="122">
        <v>5956.3567500000081</v>
      </c>
      <c r="D41" s="122">
        <v>3270.2496729999998</v>
      </c>
      <c r="E41" s="122">
        <v>5549.0742733333336</v>
      </c>
      <c r="F41" s="122">
        <v>3766.9215449999997</v>
      </c>
      <c r="G41" s="122">
        <v>4567.3325349999996</v>
      </c>
      <c r="H41" s="122">
        <v>1658.2380349999999</v>
      </c>
      <c r="I41" s="122">
        <v>38.668450000000043</v>
      </c>
      <c r="J41" s="123">
        <v>0</v>
      </c>
    </row>
    <row r="42" spans="1:12" x14ac:dyDescent="0.2">
      <c r="A42" s="120" t="s">
        <v>405</v>
      </c>
      <c r="B42" s="121" t="s">
        <v>274</v>
      </c>
      <c r="C42" s="122">
        <v>106123.25798427663</v>
      </c>
      <c r="D42" s="122">
        <v>124388.162</v>
      </c>
      <c r="E42" s="122">
        <v>135330.64200000002</v>
      </c>
      <c r="F42" s="122">
        <v>141958.08270668716</v>
      </c>
      <c r="G42" s="122">
        <v>127364.10300000003</v>
      </c>
      <c r="H42" s="122">
        <v>130614.54000000001</v>
      </c>
      <c r="I42" s="122">
        <v>50256.089999999975</v>
      </c>
      <c r="J42" s="123">
        <v>127227.77000000002</v>
      </c>
    </row>
    <row r="43" spans="1:12" x14ac:dyDescent="0.2">
      <c r="A43" s="120" t="s">
        <v>406</v>
      </c>
      <c r="B43" s="121" t="s">
        <v>407</v>
      </c>
      <c r="C43" s="122">
        <v>190812.26330156953</v>
      </c>
      <c r="D43" s="122">
        <v>206067.00099999999</v>
      </c>
      <c r="E43" s="122">
        <v>209706.07100000003</v>
      </c>
      <c r="F43" s="122">
        <v>223487.34744793986</v>
      </c>
      <c r="G43" s="122">
        <v>70571.212</v>
      </c>
      <c r="H43" s="122">
        <v>211398.55300000001</v>
      </c>
      <c r="I43" s="122">
        <v>155757.26200000002</v>
      </c>
      <c r="J43" s="123">
        <v>179334.13099999996</v>
      </c>
    </row>
    <row r="44" spans="1:12" ht="16.5" customHeight="1" x14ac:dyDescent="0.2">
      <c r="A44" s="120" t="s">
        <v>408</v>
      </c>
      <c r="B44" s="121" t="s">
        <v>298</v>
      </c>
      <c r="C44" s="122">
        <v>14119.3</v>
      </c>
      <c r="D44" s="122">
        <v>19288.97</v>
      </c>
      <c r="E44" s="122">
        <v>20815.78</v>
      </c>
      <c r="F44" s="122">
        <v>16358.64</v>
      </c>
      <c r="G44" s="122">
        <v>19804.840000000004</v>
      </c>
      <c r="H44" s="122">
        <v>17612.39</v>
      </c>
      <c r="I44" s="122">
        <v>12031.66</v>
      </c>
      <c r="J44" s="123">
        <v>10963.130000000001</v>
      </c>
    </row>
    <row r="45" spans="1:12" ht="16.5" customHeight="1" x14ac:dyDescent="0.2">
      <c r="A45" s="120" t="s">
        <v>409</v>
      </c>
      <c r="B45" s="121" t="s">
        <v>300</v>
      </c>
      <c r="C45" s="122">
        <v>40270.455000000002</v>
      </c>
      <c r="D45" s="122">
        <v>38528.400999999998</v>
      </c>
      <c r="E45" s="122">
        <v>41587.581999999995</v>
      </c>
      <c r="F45" s="122">
        <v>42148.481999999996</v>
      </c>
      <c r="G45" s="122">
        <v>45154.620999999999</v>
      </c>
      <c r="H45" s="122">
        <v>41357.006000000001</v>
      </c>
      <c r="I45" s="122">
        <v>32860.883000000002</v>
      </c>
      <c r="J45" s="123">
        <v>31306.786999999997</v>
      </c>
      <c r="K45" s="124"/>
      <c r="L45" s="124"/>
    </row>
    <row r="46" spans="1:12" x14ac:dyDescent="0.2">
      <c r="A46" s="120" t="s">
        <v>410</v>
      </c>
      <c r="B46" s="121" t="s">
        <v>303</v>
      </c>
      <c r="C46" s="122">
        <v>14596.415000000001</v>
      </c>
      <c r="D46" s="122">
        <v>17363.156999999999</v>
      </c>
      <c r="E46" s="122">
        <v>17535.357</v>
      </c>
      <c r="F46" s="122">
        <v>18995.719000000001</v>
      </c>
      <c r="G46" s="122">
        <v>22123.662000000004</v>
      </c>
      <c r="H46" s="122">
        <v>18022.292999999998</v>
      </c>
      <c r="I46" s="122">
        <v>14087.349</v>
      </c>
      <c r="J46" s="123">
        <v>14473.441999999999</v>
      </c>
      <c r="K46" s="124"/>
      <c r="L46" s="124"/>
    </row>
    <row r="47" spans="1:12" x14ac:dyDescent="0.2">
      <c r="A47" s="120" t="s">
        <v>411</v>
      </c>
      <c r="B47" s="121" t="s">
        <v>310</v>
      </c>
      <c r="C47" s="122">
        <v>16964.522000000001</v>
      </c>
      <c r="D47" s="122">
        <v>17331.444</v>
      </c>
      <c r="E47" s="122">
        <v>18585.001000000004</v>
      </c>
      <c r="F47" s="122">
        <v>16688.195999999996</v>
      </c>
      <c r="G47" s="122">
        <v>17786.664000000001</v>
      </c>
      <c r="H47" s="122">
        <v>18207.585999999999</v>
      </c>
      <c r="I47" s="122">
        <v>16078.901000000002</v>
      </c>
      <c r="J47" s="123">
        <v>15005.555</v>
      </c>
      <c r="K47" s="124"/>
      <c r="L47" s="124"/>
    </row>
    <row r="48" spans="1:12" ht="16.5" customHeight="1" x14ac:dyDescent="0.2">
      <c r="A48" s="120" t="s">
        <v>377</v>
      </c>
      <c r="B48" s="121" t="s">
        <v>312</v>
      </c>
      <c r="C48" s="122">
        <v>3310.3999999999996</v>
      </c>
      <c r="D48" s="122">
        <v>4002.56</v>
      </c>
      <c r="E48" s="122">
        <v>6492.8999999999987</v>
      </c>
      <c r="F48" s="122">
        <v>7388.4</v>
      </c>
      <c r="G48" s="122">
        <v>7175.8399999999992</v>
      </c>
      <c r="H48" s="122">
        <v>8301.2000000000007</v>
      </c>
      <c r="I48" s="122">
        <v>2307.6</v>
      </c>
      <c r="J48" s="123">
        <v>3547</v>
      </c>
      <c r="K48" s="124"/>
      <c r="L48" s="124"/>
    </row>
    <row r="49" spans="1:12" ht="12" customHeight="1" x14ac:dyDescent="0.2">
      <c r="A49" s="120"/>
      <c r="B49" s="121" t="s">
        <v>313</v>
      </c>
      <c r="C49" s="122"/>
      <c r="D49" s="122">
        <v>51.81</v>
      </c>
      <c r="E49" s="122">
        <v>346.79999999999995</v>
      </c>
      <c r="F49" s="122">
        <v>0</v>
      </c>
      <c r="G49" s="122">
        <v>0</v>
      </c>
      <c r="H49" s="122"/>
      <c r="I49" s="122">
        <v>2352.1</v>
      </c>
      <c r="J49" s="123">
        <v>3707.2000000000003</v>
      </c>
      <c r="K49" s="124"/>
      <c r="L49" s="124"/>
    </row>
    <row r="50" spans="1:12" ht="16.5" customHeight="1" x14ac:dyDescent="0.2">
      <c r="A50" s="120" t="s">
        <v>412</v>
      </c>
      <c r="B50" s="121" t="s">
        <v>317</v>
      </c>
      <c r="C50" s="122"/>
      <c r="D50" s="122"/>
      <c r="E50" s="122"/>
      <c r="F50" s="122"/>
      <c r="G50" s="122"/>
      <c r="H50" s="122">
        <v>2118.4740000000002</v>
      </c>
      <c r="I50" s="122">
        <v>5921.3628000000017</v>
      </c>
      <c r="J50" s="123">
        <v>9940.8974000000035</v>
      </c>
      <c r="K50" s="124"/>
      <c r="L50" s="124"/>
    </row>
    <row r="51" spans="1:12" ht="12" customHeight="1" x14ac:dyDescent="0.2">
      <c r="A51" s="120"/>
      <c r="B51" s="121" t="s">
        <v>318</v>
      </c>
      <c r="C51" s="122"/>
      <c r="D51" s="122"/>
      <c r="E51" s="122"/>
      <c r="F51" s="122"/>
      <c r="G51" s="122"/>
      <c r="H51" s="122">
        <v>1880.5391999999999</v>
      </c>
      <c r="I51" s="122">
        <v>6106.0889999999999</v>
      </c>
      <c r="J51" s="123">
        <v>10262.133000000002</v>
      </c>
      <c r="K51" s="124"/>
      <c r="L51" s="124"/>
    </row>
    <row r="52" spans="1:12" ht="12" customHeight="1" thickBot="1" x14ac:dyDescent="0.25">
      <c r="A52" s="120" t="s">
        <v>413</v>
      </c>
      <c r="B52" s="121" t="s">
        <v>414</v>
      </c>
      <c r="C52" s="122"/>
      <c r="D52" s="122"/>
      <c r="E52" s="122"/>
      <c r="F52" s="122"/>
      <c r="G52" s="122"/>
      <c r="H52" s="122"/>
      <c r="I52" s="122"/>
      <c r="J52" s="123">
        <v>11172.225999999999</v>
      </c>
      <c r="K52" s="124"/>
      <c r="L52" s="124"/>
    </row>
    <row r="53" spans="1:12" ht="12" customHeight="1" thickBot="1" x14ac:dyDescent="0.25">
      <c r="A53" s="117" t="s">
        <v>415</v>
      </c>
      <c r="B53" s="118"/>
      <c r="C53" s="125"/>
      <c r="D53" s="125"/>
      <c r="E53" s="125"/>
      <c r="F53" s="125"/>
      <c r="G53" s="125"/>
      <c r="H53" s="125"/>
      <c r="I53" s="125"/>
      <c r="J53" s="126"/>
    </row>
    <row r="54" spans="1:12" ht="12" customHeight="1" x14ac:dyDescent="0.2">
      <c r="A54" s="127" t="s">
        <v>416</v>
      </c>
      <c r="B54" s="128" t="s">
        <v>335</v>
      </c>
      <c r="C54" s="129"/>
      <c r="D54" s="129"/>
      <c r="E54" s="129"/>
      <c r="F54" s="129">
        <v>36.528500000000001</v>
      </c>
      <c r="G54" s="129">
        <v>8157.7569999999996</v>
      </c>
      <c r="H54" s="129">
        <v>11450.126</v>
      </c>
      <c r="I54" s="129">
        <v>13207.373</v>
      </c>
      <c r="J54" s="130">
        <v>12488.579</v>
      </c>
    </row>
    <row r="55" spans="1:12" ht="12" customHeight="1" x14ac:dyDescent="0.2">
      <c r="A55" s="127"/>
      <c r="B55" s="128" t="s">
        <v>336</v>
      </c>
      <c r="C55" s="129"/>
      <c r="D55" s="129"/>
      <c r="E55" s="129"/>
      <c r="F55" s="129"/>
      <c r="G55" s="129"/>
      <c r="H55" s="129"/>
      <c r="I55" s="129">
        <v>21704.071000000004</v>
      </c>
      <c r="J55" s="130">
        <v>47894.7</v>
      </c>
    </row>
    <row r="56" spans="1:12" ht="12" thickBot="1" x14ac:dyDescent="0.25">
      <c r="A56" s="127"/>
      <c r="B56" s="128"/>
      <c r="C56" s="129"/>
      <c r="D56" s="129"/>
      <c r="E56" s="129"/>
      <c r="F56" s="129"/>
      <c r="G56" s="129"/>
      <c r="H56" s="129"/>
      <c r="I56" s="129"/>
      <c r="J56" s="130"/>
    </row>
    <row r="57" spans="1:12" ht="12" thickBot="1" x14ac:dyDescent="0.25">
      <c r="A57" s="117" t="s">
        <v>417</v>
      </c>
      <c r="B57" s="118"/>
      <c r="C57" s="125"/>
      <c r="D57" s="125"/>
      <c r="E57" s="125"/>
      <c r="F57" s="125"/>
      <c r="G57" s="125"/>
      <c r="H57" s="125"/>
      <c r="I57" s="125"/>
      <c r="J57" s="126"/>
    </row>
    <row r="58" spans="1:12" x14ac:dyDescent="0.2">
      <c r="A58" s="127" t="s">
        <v>418</v>
      </c>
      <c r="B58" s="128" t="s">
        <v>419</v>
      </c>
      <c r="C58" s="129"/>
      <c r="D58" s="129"/>
      <c r="E58" s="129"/>
      <c r="F58" s="129"/>
      <c r="G58" s="129"/>
      <c r="H58" s="129"/>
      <c r="I58" s="129"/>
      <c r="J58" s="130">
        <v>1065.63625</v>
      </c>
    </row>
    <row r="59" spans="1:12" ht="12" thickBot="1" x14ac:dyDescent="0.25">
      <c r="A59" s="127"/>
      <c r="B59" s="128"/>
      <c r="C59" s="129"/>
      <c r="D59" s="129"/>
      <c r="E59" s="129"/>
      <c r="F59" s="129"/>
      <c r="G59" s="129"/>
      <c r="H59" s="129"/>
      <c r="I59" s="129"/>
      <c r="J59" s="130"/>
    </row>
    <row r="60" spans="1:12" ht="12" thickBot="1" x14ac:dyDescent="0.25">
      <c r="A60" s="117" t="s">
        <v>420</v>
      </c>
      <c r="B60" s="118"/>
      <c r="C60" s="125"/>
      <c r="D60" s="125"/>
      <c r="E60" s="125"/>
      <c r="F60" s="125"/>
      <c r="G60" s="125"/>
      <c r="H60" s="125"/>
      <c r="I60" s="125"/>
      <c r="J60" s="126"/>
    </row>
    <row r="61" spans="1:12" ht="16.5" customHeight="1" x14ac:dyDescent="0.2">
      <c r="A61" s="131" t="s">
        <v>421</v>
      </c>
      <c r="B61" s="132" t="s">
        <v>45</v>
      </c>
      <c r="C61" s="133">
        <v>54977.579999999987</v>
      </c>
      <c r="D61" s="133">
        <v>31424.37</v>
      </c>
      <c r="E61" s="133">
        <v>44186.280000000006</v>
      </c>
      <c r="F61" s="133">
        <v>6585.9599999999991</v>
      </c>
      <c r="G61" s="133">
        <v>15638.4</v>
      </c>
      <c r="H61" s="133">
        <v>14091.300000000003</v>
      </c>
      <c r="I61" s="133">
        <v>42919.199999999997</v>
      </c>
      <c r="J61" s="134">
        <v>41459.700000000004</v>
      </c>
    </row>
    <row r="62" spans="1:12" x14ac:dyDescent="0.2">
      <c r="A62" s="131"/>
      <c r="B62" s="132" t="s">
        <v>47</v>
      </c>
      <c r="C62" s="133">
        <v>44343.569999999992</v>
      </c>
      <c r="D62" s="133">
        <v>38362.5</v>
      </c>
      <c r="E62" s="133">
        <v>31007.909999999996</v>
      </c>
      <c r="F62" s="133">
        <v>4921.4399999999996</v>
      </c>
      <c r="G62" s="133">
        <v>14575.08</v>
      </c>
      <c r="H62" s="133">
        <v>10209.6</v>
      </c>
      <c r="I62" s="133">
        <v>28229.760000000002</v>
      </c>
      <c r="J62" s="134">
        <v>20603.039999999997</v>
      </c>
    </row>
    <row r="63" spans="1:12" x14ac:dyDescent="0.2">
      <c r="A63" s="131"/>
      <c r="B63" s="132" t="s">
        <v>48</v>
      </c>
      <c r="C63" s="133">
        <v>35434.590000000004</v>
      </c>
      <c r="D63" s="133">
        <v>65185.067999999999</v>
      </c>
      <c r="E63" s="133">
        <v>40516.368000000002</v>
      </c>
      <c r="F63" s="133">
        <v>17730.18</v>
      </c>
      <c r="G63" s="133">
        <v>24451.464</v>
      </c>
      <c r="H63" s="133">
        <v>13814.243999999999</v>
      </c>
      <c r="I63" s="133">
        <v>43634.928000000007</v>
      </c>
      <c r="J63" s="134">
        <v>24144.995999999996</v>
      </c>
    </row>
    <row r="64" spans="1:12" x14ac:dyDescent="0.2">
      <c r="A64" s="131"/>
      <c r="B64" s="132" t="s">
        <v>49</v>
      </c>
      <c r="C64" s="133">
        <v>47583.179999999993</v>
      </c>
      <c r="D64" s="133">
        <v>73021.77</v>
      </c>
      <c r="E64" s="133">
        <v>79926.345000000001</v>
      </c>
      <c r="F64" s="133">
        <v>32721.119999999995</v>
      </c>
      <c r="G64" s="133">
        <v>52400.755703329996</v>
      </c>
      <c r="H64" s="133">
        <v>49910.714999999997</v>
      </c>
      <c r="I64" s="133">
        <v>73438.604999999996</v>
      </c>
      <c r="J64" s="134">
        <v>47740.184999999998</v>
      </c>
    </row>
    <row r="65" spans="1:10" x14ac:dyDescent="0.2">
      <c r="A65" s="131"/>
      <c r="B65" s="132" t="s">
        <v>50</v>
      </c>
      <c r="C65" s="133">
        <v>304167.35200000001</v>
      </c>
      <c r="D65" s="133">
        <v>362328.33600000001</v>
      </c>
      <c r="E65" s="133">
        <v>345670.74</v>
      </c>
      <c r="F65" s="133">
        <v>479429.598</v>
      </c>
      <c r="G65" s="133">
        <v>420127.47135156026</v>
      </c>
      <c r="H65" s="133">
        <v>459226.69199999992</v>
      </c>
      <c r="I65" s="133">
        <v>240047.45999999993</v>
      </c>
      <c r="J65" s="134">
        <v>381288.42</v>
      </c>
    </row>
    <row r="66" spans="1:10" x14ac:dyDescent="0.2">
      <c r="A66" s="131"/>
      <c r="B66" s="132" t="s">
        <v>51</v>
      </c>
      <c r="C66" s="133">
        <v>274064.72799999994</v>
      </c>
      <c r="D66" s="133">
        <v>328187.05200000003</v>
      </c>
      <c r="E66" s="133">
        <v>425317.902</v>
      </c>
      <c r="F66" s="133">
        <v>461289.34800000006</v>
      </c>
      <c r="G66" s="133">
        <v>412122.105063011</v>
      </c>
      <c r="H66" s="133">
        <v>378806.54399999999</v>
      </c>
      <c r="I66" s="133">
        <v>386168.79599999997</v>
      </c>
      <c r="J66" s="134">
        <v>365210.38799999998</v>
      </c>
    </row>
    <row r="67" spans="1:10" x14ac:dyDescent="0.2">
      <c r="A67" s="131"/>
      <c r="B67" s="132" t="s">
        <v>52</v>
      </c>
      <c r="C67" s="133">
        <v>386364.63308200007</v>
      </c>
      <c r="D67" s="133">
        <v>362853.24075</v>
      </c>
      <c r="E67" s="133">
        <v>215762.25825000004</v>
      </c>
      <c r="F67" s="133">
        <v>201328.714125</v>
      </c>
      <c r="G67" s="133">
        <v>301526.55250000005</v>
      </c>
      <c r="H67" s="133">
        <v>234237.29225000003</v>
      </c>
      <c r="I67" s="133">
        <v>299524.30199999997</v>
      </c>
      <c r="J67" s="134">
        <v>149744.47925</v>
      </c>
    </row>
    <row r="68" spans="1:10" x14ac:dyDescent="0.2">
      <c r="A68" s="131"/>
      <c r="B68" s="132" t="s">
        <v>241</v>
      </c>
      <c r="C68" s="133">
        <v>85.295999999999992</v>
      </c>
      <c r="D68" s="133">
        <v>1236.1020000000001</v>
      </c>
      <c r="E68" s="133">
        <v>369449.51400000002</v>
      </c>
      <c r="F68" s="133">
        <v>616226.28899999999</v>
      </c>
      <c r="G68" s="133">
        <v>523552.59600000002</v>
      </c>
      <c r="H68" s="133">
        <v>544179.25994216464</v>
      </c>
      <c r="I68" s="133">
        <v>222713.652</v>
      </c>
      <c r="J68" s="134">
        <v>361213.69200000004</v>
      </c>
    </row>
    <row r="69" spans="1:10" ht="16.5" customHeight="1" x14ac:dyDescent="0.2">
      <c r="A69" s="131" t="s">
        <v>422</v>
      </c>
      <c r="B69" s="132" t="s">
        <v>55</v>
      </c>
      <c r="C69" s="133">
        <v>73485.584999999992</v>
      </c>
      <c r="D69" s="133">
        <v>82841.692500000005</v>
      </c>
      <c r="E69" s="133">
        <v>69552.787499999991</v>
      </c>
      <c r="F69" s="133">
        <v>23800.942902800001</v>
      </c>
      <c r="G69" s="133">
        <v>44110.71</v>
      </c>
      <c r="H69" s="133">
        <v>44085.419999999991</v>
      </c>
      <c r="I69" s="133">
        <v>76414.35149999999</v>
      </c>
      <c r="J69" s="134">
        <v>77133.690000000017</v>
      </c>
    </row>
    <row r="70" spans="1:10" x14ac:dyDescent="0.2">
      <c r="A70" s="131"/>
      <c r="B70" s="132" t="s">
        <v>56</v>
      </c>
      <c r="C70" s="133">
        <v>86746.319999999992</v>
      </c>
      <c r="D70" s="133">
        <v>105667.14</v>
      </c>
      <c r="E70" s="133">
        <v>63985.62</v>
      </c>
      <c r="F70" s="133">
        <v>16188.9</v>
      </c>
      <c r="G70" s="133">
        <v>29892.711125046593</v>
      </c>
      <c r="H70" s="133">
        <v>35185.5</v>
      </c>
      <c r="I70" s="133">
        <v>69334.630499999999</v>
      </c>
      <c r="J70" s="134">
        <v>64466.459999999992</v>
      </c>
    </row>
    <row r="71" spans="1:10" ht="12" customHeight="1" x14ac:dyDescent="0.2">
      <c r="A71" s="131"/>
      <c r="B71" s="132" t="s">
        <v>60</v>
      </c>
      <c r="C71" s="133"/>
      <c r="D71" s="133"/>
      <c r="E71" s="133"/>
      <c r="F71" s="133"/>
      <c r="G71" s="133">
        <v>10615.624999999991</v>
      </c>
      <c r="H71" s="133">
        <v>16947.507500000011</v>
      </c>
      <c r="I71" s="133">
        <v>10655.049750000002</v>
      </c>
      <c r="J71" s="134">
        <v>11162.566999999999</v>
      </c>
    </row>
    <row r="72" spans="1:10" ht="16.5" customHeight="1" x14ac:dyDescent="0.2">
      <c r="A72" s="131" t="s">
        <v>423</v>
      </c>
      <c r="B72" s="132" t="s">
        <v>61</v>
      </c>
      <c r="C72" s="133"/>
      <c r="D72" s="133"/>
      <c r="E72" s="133"/>
      <c r="F72" s="133"/>
      <c r="G72" s="133"/>
      <c r="H72" s="133"/>
      <c r="I72" s="133">
        <v>708.84400000000005</v>
      </c>
      <c r="J72" s="134">
        <v>751.15300000000002</v>
      </c>
    </row>
    <row r="73" spans="1:10" ht="16.5" customHeight="1" x14ac:dyDescent="0.2">
      <c r="A73" s="131" t="s">
        <v>424</v>
      </c>
      <c r="B73" s="132" t="s">
        <v>425</v>
      </c>
      <c r="C73" s="133">
        <v>0</v>
      </c>
      <c r="D73" s="133">
        <v>1295.25873</v>
      </c>
      <c r="E73" s="133">
        <v>6370.2055145175</v>
      </c>
      <c r="F73" s="133">
        <v>1574.99368394</v>
      </c>
      <c r="G73" s="133">
        <v>5457.5982823000022</v>
      </c>
      <c r="H73" s="133">
        <v>903.1293569275839</v>
      </c>
      <c r="I73" s="133">
        <v>2065.3987464399997</v>
      </c>
      <c r="J73" s="134">
        <v>511.0025</v>
      </c>
    </row>
    <row r="74" spans="1:10" x14ac:dyDescent="0.2">
      <c r="A74" s="131"/>
      <c r="B74" s="132" t="s">
        <v>426</v>
      </c>
      <c r="C74" s="133">
        <v>7078.1761228214964</v>
      </c>
      <c r="D74" s="133">
        <v>6630.8057900000003</v>
      </c>
      <c r="E74" s="133">
        <v>0</v>
      </c>
      <c r="F74" s="133">
        <v>0</v>
      </c>
      <c r="G74" s="133">
        <v>1826.3282691160052</v>
      </c>
      <c r="H74" s="133">
        <v>911.2479539279999</v>
      </c>
      <c r="I74" s="133">
        <v>2494.435346064</v>
      </c>
      <c r="J74" s="134">
        <v>148.19450000000001</v>
      </c>
    </row>
    <row r="75" spans="1:10" x14ac:dyDescent="0.2">
      <c r="A75" s="131"/>
      <c r="B75" s="132" t="s">
        <v>427</v>
      </c>
      <c r="C75" s="133">
        <v>6933.803202000001</v>
      </c>
      <c r="D75" s="133">
        <v>3921.550401</v>
      </c>
      <c r="E75" s="133">
        <v>7512.4494400000012</v>
      </c>
      <c r="F75" s="133">
        <v>1769.8755000000001</v>
      </c>
      <c r="G75" s="133">
        <v>5453.1379999999999</v>
      </c>
      <c r="H75" s="133">
        <v>742.68149999999991</v>
      </c>
      <c r="I75" s="133">
        <v>3046.8119999999999</v>
      </c>
      <c r="J75" s="134">
        <v>740.51250000000005</v>
      </c>
    </row>
    <row r="76" spans="1:10" x14ac:dyDescent="0.2">
      <c r="A76" s="131"/>
      <c r="B76" s="132" t="s">
        <v>76</v>
      </c>
      <c r="C76" s="133">
        <v>128803.56000000001</v>
      </c>
      <c r="D76" s="133">
        <v>132236.64000000001</v>
      </c>
      <c r="E76" s="133">
        <v>116890.92</v>
      </c>
      <c r="F76" s="133">
        <v>106260.78000000001</v>
      </c>
      <c r="G76" s="133">
        <v>105427.86</v>
      </c>
      <c r="H76" s="133">
        <v>83446.760000000184</v>
      </c>
      <c r="I76" s="133">
        <v>101154.24000000002</v>
      </c>
      <c r="J76" s="134">
        <v>139685.16</v>
      </c>
    </row>
    <row r="77" spans="1:10" x14ac:dyDescent="0.2">
      <c r="A77" s="131"/>
      <c r="B77" s="132" t="s">
        <v>77</v>
      </c>
      <c r="C77" s="133">
        <v>8515.6443321999977</v>
      </c>
      <c r="D77" s="133">
        <v>9389.0358410000008</v>
      </c>
      <c r="E77" s="133">
        <v>9982.8344514499986</v>
      </c>
      <c r="F77" s="133">
        <v>5243.730669999999</v>
      </c>
      <c r="G77" s="133">
        <v>10782.301104999993</v>
      </c>
      <c r="H77" s="133">
        <v>8423.3989699999547</v>
      </c>
      <c r="I77" s="133">
        <v>10825.283039999975</v>
      </c>
      <c r="J77" s="134">
        <v>697.1232500000001</v>
      </c>
    </row>
    <row r="78" spans="1:10" x14ac:dyDescent="0.2">
      <c r="A78" s="131"/>
      <c r="B78" s="132" t="s">
        <v>78</v>
      </c>
      <c r="C78" s="133">
        <v>5377.4900456449959</v>
      </c>
      <c r="D78" s="133">
        <v>6762.7585799999997</v>
      </c>
      <c r="E78" s="133">
        <v>8208.257778800009</v>
      </c>
      <c r="F78" s="133">
        <v>9655.3631199999982</v>
      </c>
      <c r="G78" s="133">
        <v>7515.143299999977</v>
      </c>
      <c r="H78" s="133">
        <v>4874.0930399999925</v>
      </c>
      <c r="I78" s="133">
        <v>10874.30593000001</v>
      </c>
      <c r="J78" s="134">
        <v>657.71189500000003</v>
      </c>
    </row>
    <row r="79" spans="1:10" x14ac:dyDescent="0.2">
      <c r="A79" s="131"/>
      <c r="B79" s="132" t="s">
        <v>79</v>
      </c>
      <c r="C79" s="133">
        <v>5023.2107812749982</v>
      </c>
      <c r="D79" s="133">
        <v>6196.9345160000003</v>
      </c>
      <c r="E79" s="133">
        <v>11548.431087550014</v>
      </c>
      <c r="F79" s="133">
        <v>11349.074575000001</v>
      </c>
      <c r="G79" s="133">
        <v>9975.9341299999905</v>
      </c>
      <c r="H79" s="133">
        <v>7073.2160740378231</v>
      </c>
      <c r="I79" s="133">
        <v>0</v>
      </c>
      <c r="J79" s="134">
        <v>0</v>
      </c>
    </row>
    <row r="80" spans="1:10" x14ac:dyDescent="0.2">
      <c r="A80" s="131"/>
      <c r="B80" s="132" t="s">
        <v>80</v>
      </c>
      <c r="C80" s="133">
        <v>2147.3923148100002</v>
      </c>
      <c r="D80" s="133">
        <v>8851.2839679999997</v>
      </c>
      <c r="E80" s="133">
        <v>10087.290187999994</v>
      </c>
      <c r="F80" s="133">
        <v>9758.3664000000153</v>
      </c>
      <c r="G80" s="133">
        <v>4970.5611999999865</v>
      </c>
      <c r="H80" s="133">
        <v>5371.6201999999894</v>
      </c>
      <c r="I80" s="133">
        <v>0</v>
      </c>
      <c r="J80" s="134">
        <v>0</v>
      </c>
    </row>
    <row r="81" spans="1:10" x14ac:dyDescent="0.2">
      <c r="A81" s="131"/>
      <c r="B81" s="132" t="s">
        <v>81</v>
      </c>
      <c r="C81" s="133">
        <v>8526.9006409999947</v>
      </c>
      <c r="D81" s="133">
        <v>10123.336069999999</v>
      </c>
      <c r="E81" s="133">
        <v>9538.6528150000031</v>
      </c>
      <c r="F81" s="133">
        <v>2570.0208000000066</v>
      </c>
      <c r="G81" s="133">
        <v>7007.9093999999996</v>
      </c>
      <c r="H81" s="133">
        <v>0</v>
      </c>
      <c r="I81" s="133">
        <v>0</v>
      </c>
      <c r="J81" s="134">
        <v>0</v>
      </c>
    </row>
    <row r="82" spans="1:10" x14ac:dyDescent="0.2">
      <c r="A82" s="131"/>
      <c r="B82" s="132" t="s">
        <v>82</v>
      </c>
      <c r="C82" s="133">
        <v>7797.8295384000085</v>
      </c>
      <c r="D82" s="133">
        <v>4892.938408</v>
      </c>
      <c r="E82" s="133">
        <v>11580.990529000033</v>
      </c>
      <c r="F82" s="133">
        <v>10493.689199999977</v>
      </c>
      <c r="G82" s="133">
        <v>9947.2014000000054</v>
      </c>
      <c r="H82" s="133">
        <v>7564.2671999999584</v>
      </c>
      <c r="I82" s="133">
        <v>8339.7395999998589</v>
      </c>
      <c r="J82" s="134">
        <v>474.07699999999943</v>
      </c>
    </row>
    <row r="83" spans="1:10" ht="16.5" customHeight="1" x14ac:dyDescent="0.2">
      <c r="A83" s="131" t="s">
        <v>428</v>
      </c>
      <c r="B83" s="132" t="s">
        <v>243</v>
      </c>
      <c r="C83" s="133">
        <v>80691.735044999994</v>
      </c>
      <c r="D83" s="133">
        <v>79540.577999999994</v>
      </c>
      <c r="E83" s="133">
        <v>60267.497718999999</v>
      </c>
      <c r="F83" s="133">
        <v>84986.583595136995</v>
      </c>
      <c r="G83" s="133">
        <v>61003.532321999912</v>
      </c>
      <c r="H83" s="133">
        <v>79662.397554113864</v>
      </c>
      <c r="I83" s="133">
        <v>76545.155212149999</v>
      </c>
      <c r="J83" s="134">
        <v>41016.303</v>
      </c>
    </row>
    <row r="84" spans="1:10" ht="16.5" customHeight="1" x14ac:dyDescent="0.2">
      <c r="A84" s="131" t="s">
        <v>429</v>
      </c>
      <c r="B84" s="132" t="s">
        <v>83</v>
      </c>
      <c r="C84" s="133">
        <v>46977.265625</v>
      </c>
      <c r="D84" s="133">
        <v>50444.303124999999</v>
      </c>
      <c r="E84" s="133">
        <v>50792.947500000002</v>
      </c>
      <c r="F84" s="133">
        <v>25340.758313000002</v>
      </c>
      <c r="G84" s="133">
        <v>43520.745187</v>
      </c>
      <c r="H84" s="133">
        <v>0</v>
      </c>
      <c r="I84" s="133">
        <v>1793.82</v>
      </c>
      <c r="J84" s="134">
        <v>18.810000000000002</v>
      </c>
    </row>
    <row r="85" spans="1:10" x14ac:dyDescent="0.2">
      <c r="A85" s="131"/>
      <c r="B85" s="132" t="s">
        <v>84</v>
      </c>
      <c r="C85" s="133">
        <v>47451.323000000004</v>
      </c>
      <c r="D85" s="133">
        <v>50578.209750000002</v>
      </c>
      <c r="E85" s="133">
        <v>52201.957000000002</v>
      </c>
      <c r="F85" s="133">
        <v>20555.564869999998</v>
      </c>
      <c r="G85" s="133">
        <v>46932.179499999998</v>
      </c>
      <c r="H85" s="133">
        <v>29966.794000000005</v>
      </c>
      <c r="I85" s="133">
        <v>14728.669187500001</v>
      </c>
      <c r="J85" s="134">
        <v>14455.24559</v>
      </c>
    </row>
    <row r="86" spans="1:10" ht="16.5" customHeight="1" x14ac:dyDescent="0.2">
      <c r="A86" s="131" t="s">
        <v>430</v>
      </c>
      <c r="B86" s="132" t="s">
        <v>431</v>
      </c>
      <c r="C86" s="133">
        <v>412298.62000000005</v>
      </c>
      <c r="D86" s="133">
        <v>375505.48</v>
      </c>
      <c r="E86" s="133">
        <v>441361.19300000003</v>
      </c>
      <c r="F86" s="133">
        <v>438893.55500000005</v>
      </c>
      <c r="G86" s="133">
        <v>458878.51799999998</v>
      </c>
      <c r="H86" s="133">
        <v>260568.35899999994</v>
      </c>
      <c r="I86" s="133">
        <v>431717.94459999999</v>
      </c>
      <c r="J86" s="134">
        <v>498992.92799999996</v>
      </c>
    </row>
    <row r="87" spans="1:10" ht="16.5" customHeight="1" x14ac:dyDescent="0.2">
      <c r="A87" s="131" t="s">
        <v>432</v>
      </c>
      <c r="B87" s="132" t="s">
        <v>433</v>
      </c>
      <c r="C87" s="133">
        <v>743118.82019999996</v>
      </c>
      <c r="D87" s="133">
        <v>616986.26712799992</v>
      </c>
      <c r="E87" s="133">
        <v>772580.19999999972</v>
      </c>
      <c r="F87" s="133">
        <v>667630.60999999987</v>
      </c>
      <c r="G87" s="133">
        <v>815783.94000000006</v>
      </c>
      <c r="H87" s="133">
        <v>516330.15</v>
      </c>
      <c r="I87" s="133">
        <v>440398.8600000001</v>
      </c>
      <c r="J87" s="134">
        <v>552699.28999999992</v>
      </c>
    </row>
    <row r="88" spans="1:10" ht="16.5" customHeight="1" x14ac:dyDescent="0.2">
      <c r="A88" s="131" t="s">
        <v>434</v>
      </c>
      <c r="B88" s="132" t="s">
        <v>85</v>
      </c>
      <c r="C88" s="133"/>
      <c r="D88" s="133"/>
      <c r="E88" s="133">
        <v>57810.708899999998</v>
      </c>
      <c r="F88" s="133">
        <v>107684.09799999998</v>
      </c>
      <c r="G88" s="133">
        <v>108265.76249999998</v>
      </c>
      <c r="H88" s="133">
        <v>62901.071699999942</v>
      </c>
      <c r="I88" s="133">
        <v>100635.927</v>
      </c>
      <c r="J88" s="134">
        <v>49236.522900000004</v>
      </c>
    </row>
    <row r="89" spans="1:10" x14ac:dyDescent="0.2">
      <c r="A89" s="131"/>
      <c r="B89" s="132" t="s">
        <v>86</v>
      </c>
      <c r="C89" s="133"/>
      <c r="D89" s="133"/>
      <c r="E89" s="133"/>
      <c r="F89" s="133">
        <v>103575.98907</v>
      </c>
      <c r="G89" s="133">
        <v>74350.106548000011</v>
      </c>
      <c r="H89" s="133">
        <v>230006.70250000007</v>
      </c>
      <c r="I89" s="133">
        <v>213864.51399999997</v>
      </c>
      <c r="J89" s="134">
        <v>148687.6958000001</v>
      </c>
    </row>
    <row r="90" spans="1:10" ht="16.5" customHeight="1" x14ac:dyDescent="0.2">
      <c r="A90" s="131" t="s">
        <v>435</v>
      </c>
      <c r="B90" s="132" t="s">
        <v>62</v>
      </c>
      <c r="C90" s="133">
        <v>320717</v>
      </c>
      <c r="D90" s="133">
        <v>327166</v>
      </c>
      <c r="E90" s="133">
        <v>106480</v>
      </c>
      <c r="F90" s="133">
        <v>287973.53399999999</v>
      </c>
      <c r="G90" s="133">
        <v>269807.61800000013</v>
      </c>
      <c r="H90" s="133">
        <v>253280.23099999985</v>
      </c>
      <c r="I90" s="133">
        <v>223504.63100000005</v>
      </c>
      <c r="J90" s="134">
        <v>237695.82099999994</v>
      </c>
    </row>
    <row r="91" spans="1:10" x14ac:dyDescent="0.2">
      <c r="A91" s="131"/>
      <c r="B91" s="132" t="s">
        <v>63</v>
      </c>
      <c r="C91" s="133">
        <v>331746</v>
      </c>
      <c r="D91" s="133">
        <v>326073</v>
      </c>
      <c r="E91" s="133">
        <v>289542</v>
      </c>
      <c r="F91" s="133">
        <v>202260.81000000006</v>
      </c>
      <c r="G91" s="133">
        <v>173568.66000000032</v>
      </c>
      <c r="H91" s="133">
        <v>33037.908999999891</v>
      </c>
      <c r="I91" s="133">
        <v>15850.489000000001</v>
      </c>
      <c r="J91" s="134">
        <v>77027.985999999757</v>
      </c>
    </row>
    <row r="92" spans="1:10" x14ac:dyDescent="0.2">
      <c r="A92" s="131"/>
      <c r="B92" s="132" t="s">
        <v>64</v>
      </c>
      <c r="C92" s="133"/>
      <c r="D92" s="133"/>
      <c r="E92" s="133"/>
      <c r="F92" s="133">
        <v>917.24761999999998</v>
      </c>
      <c r="G92" s="133">
        <v>265758.58129</v>
      </c>
      <c r="H92" s="133">
        <v>313954.44199999998</v>
      </c>
      <c r="I92" s="133">
        <v>125500.57599999997</v>
      </c>
      <c r="J92" s="134">
        <v>239710.45899999986</v>
      </c>
    </row>
    <row r="93" spans="1:10" ht="16.5" customHeight="1" x14ac:dyDescent="0.2">
      <c r="A93" s="131" t="s">
        <v>436</v>
      </c>
      <c r="B93" s="132" t="s">
        <v>437</v>
      </c>
      <c r="C93" s="133">
        <v>58156.17</v>
      </c>
      <c r="D93" s="133">
        <v>64040.52</v>
      </c>
      <c r="E93" s="133">
        <v>64494.2</v>
      </c>
      <c r="F93" s="133">
        <v>79491</v>
      </c>
      <c r="G93" s="133">
        <v>65694</v>
      </c>
      <c r="H93" s="133">
        <v>62146</v>
      </c>
      <c r="I93" s="133">
        <v>50538</v>
      </c>
      <c r="J93" s="134">
        <v>29748</v>
      </c>
    </row>
    <row r="94" spans="1:10" ht="12" customHeight="1" x14ac:dyDescent="0.2">
      <c r="A94" s="131"/>
      <c r="B94" s="132" t="s">
        <v>438</v>
      </c>
      <c r="C94" s="133"/>
      <c r="D94" s="133"/>
      <c r="E94" s="133"/>
      <c r="F94" s="133"/>
      <c r="G94" s="133"/>
      <c r="H94" s="133"/>
      <c r="I94" s="133"/>
      <c r="J94" s="134">
        <v>3137</v>
      </c>
    </row>
    <row r="95" spans="1:10" ht="16.5" customHeight="1" x14ac:dyDescent="0.2">
      <c r="A95" s="131" t="s">
        <v>439</v>
      </c>
      <c r="B95" s="132" t="s">
        <v>87</v>
      </c>
      <c r="C95" s="133">
        <v>94768</v>
      </c>
      <c r="D95" s="133">
        <v>186730</v>
      </c>
      <c r="E95" s="133">
        <v>193238</v>
      </c>
      <c r="F95" s="133">
        <v>176801</v>
      </c>
      <c r="G95" s="133">
        <v>173128</v>
      </c>
      <c r="H95" s="133">
        <v>75240</v>
      </c>
      <c r="I95" s="133">
        <v>152450</v>
      </c>
      <c r="J95" s="134">
        <v>36192</v>
      </c>
    </row>
    <row r="96" spans="1:10" x14ac:dyDescent="0.2">
      <c r="A96" s="131"/>
      <c r="B96" s="132" t="s">
        <v>88</v>
      </c>
      <c r="C96" s="133">
        <v>123773.2823375</v>
      </c>
      <c r="D96" s="133">
        <v>193364</v>
      </c>
      <c r="E96" s="133">
        <v>193432</v>
      </c>
      <c r="F96" s="133">
        <v>175773</v>
      </c>
      <c r="G96" s="133">
        <v>165138</v>
      </c>
      <c r="H96" s="133">
        <v>85293</v>
      </c>
      <c r="I96" s="133">
        <v>168623</v>
      </c>
      <c r="J96" s="134">
        <v>52744</v>
      </c>
    </row>
    <row r="97" spans="1:11" x14ac:dyDescent="0.2">
      <c r="A97" s="131"/>
      <c r="B97" s="132" t="s">
        <v>89</v>
      </c>
      <c r="C97" s="133">
        <v>109541.1267625</v>
      </c>
      <c r="D97" s="133">
        <v>170825</v>
      </c>
      <c r="E97" s="133">
        <v>196674</v>
      </c>
      <c r="F97" s="133">
        <v>195325</v>
      </c>
      <c r="G97" s="133">
        <v>173443</v>
      </c>
      <c r="H97" s="133">
        <v>74301</v>
      </c>
      <c r="I97" s="133">
        <v>182321</v>
      </c>
      <c r="J97" s="134">
        <v>60409</v>
      </c>
    </row>
    <row r="98" spans="1:11" x14ac:dyDescent="0.2">
      <c r="A98" s="131"/>
      <c r="B98" s="132" t="s">
        <v>90</v>
      </c>
      <c r="C98" s="133">
        <v>77401.001000000004</v>
      </c>
      <c r="D98" s="133">
        <v>187411</v>
      </c>
      <c r="E98" s="133">
        <v>183871</v>
      </c>
      <c r="F98" s="133">
        <v>186743</v>
      </c>
      <c r="G98" s="133">
        <v>193663</v>
      </c>
      <c r="H98" s="133">
        <v>89367</v>
      </c>
      <c r="I98" s="133">
        <v>182872</v>
      </c>
      <c r="J98" s="134">
        <v>46175</v>
      </c>
    </row>
    <row r="99" spans="1:11" ht="16.5" customHeight="1" x14ac:dyDescent="0.2">
      <c r="A99" s="131" t="s">
        <v>440</v>
      </c>
      <c r="B99" s="132" t="s">
        <v>92</v>
      </c>
      <c r="C99" s="133"/>
      <c r="D99" s="133"/>
      <c r="E99" s="133"/>
      <c r="F99" s="133"/>
      <c r="G99" s="133">
        <v>84605.7</v>
      </c>
      <c r="H99" s="133">
        <v>283458</v>
      </c>
      <c r="I99" s="133">
        <v>327520.80560572003</v>
      </c>
      <c r="J99" s="134">
        <v>321801.02243377001</v>
      </c>
    </row>
    <row r="100" spans="1:11" x14ac:dyDescent="0.2">
      <c r="A100" s="131"/>
      <c r="B100" s="132" t="s">
        <v>93</v>
      </c>
      <c r="C100" s="133"/>
      <c r="D100" s="133"/>
      <c r="E100" s="133"/>
      <c r="F100" s="133"/>
      <c r="G100" s="133">
        <v>129537</v>
      </c>
      <c r="H100" s="133">
        <v>256045</v>
      </c>
      <c r="I100" s="133">
        <v>313178.53026025603</v>
      </c>
      <c r="J100" s="134">
        <v>283832.34028472006</v>
      </c>
    </row>
    <row r="101" spans="1:11" x14ac:dyDescent="0.2">
      <c r="A101" s="131"/>
      <c r="B101" s="132" t="s">
        <v>94</v>
      </c>
      <c r="C101" s="133"/>
      <c r="D101" s="133"/>
      <c r="E101" s="133"/>
      <c r="F101" s="133"/>
      <c r="G101" s="133">
        <v>108702.3</v>
      </c>
      <c r="H101" s="133">
        <v>285112</v>
      </c>
      <c r="I101" s="133">
        <v>329847.8391620898</v>
      </c>
      <c r="J101" s="134">
        <v>326287.42484508501</v>
      </c>
    </row>
    <row r="102" spans="1:11" x14ac:dyDescent="0.2">
      <c r="A102" s="131"/>
      <c r="B102" s="132" t="s">
        <v>95</v>
      </c>
      <c r="C102" s="133"/>
      <c r="D102" s="133"/>
      <c r="E102" s="133"/>
      <c r="F102" s="133"/>
      <c r="G102" s="133">
        <v>73180</v>
      </c>
      <c r="H102" s="133">
        <v>279769</v>
      </c>
      <c r="I102" s="133">
        <v>310140.64298799884</v>
      </c>
      <c r="J102" s="134">
        <v>335050.79283362499</v>
      </c>
    </row>
    <row r="103" spans="1:11" ht="16.5" customHeight="1" x14ac:dyDescent="0.2">
      <c r="A103" s="131" t="s">
        <v>441</v>
      </c>
      <c r="B103" s="132" t="s">
        <v>96</v>
      </c>
      <c r="C103" s="133"/>
      <c r="D103" s="133"/>
      <c r="E103" s="133"/>
      <c r="F103" s="133"/>
      <c r="G103" s="133"/>
      <c r="H103" s="133">
        <v>198822</v>
      </c>
      <c r="I103" s="133">
        <v>327476</v>
      </c>
      <c r="J103" s="134">
        <v>341340.33600000001</v>
      </c>
    </row>
    <row r="104" spans="1:11" x14ac:dyDescent="0.2">
      <c r="A104" s="131"/>
      <c r="B104" s="132" t="s">
        <v>97</v>
      </c>
      <c r="C104" s="133"/>
      <c r="D104" s="133"/>
      <c r="E104" s="133"/>
      <c r="F104" s="133"/>
      <c r="G104" s="133"/>
      <c r="H104" s="133">
        <v>104963</v>
      </c>
      <c r="I104" s="133">
        <v>303848</v>
      </c>
      <c r="J104" s="134">
        <v>232234.96000000008</v>
      </c>
    </row>
    <row r="105" spans="1:11" x14ac:dyDescent="0.2">
      <c r="A105" s="131"/>
      <c r="B105" s="132" t="s">
        <v>98</v>
      </c>
      <c r="C105" s="133"/>
      <c r="D105" s="133"/>
      <c r="E105" s="133"/>
      <c r="F105" s="133"/>
      <c r="G105" s="133"/>
      <c r="H105" s="133">
        <v>135385</v>
      </c>
      <c r="I105" s="133">
        <v>334360</v>
      </c>
      <c r="J105" s="134">
        <v>332215.63199999998</v>
      </c>
    </row>
    <row r="106" spans="1:11" x14ac:dyDescent="0.2">
      <c r="A106" s="131"/>
      <c r="B106" s="132" t="s">
        <v>99</v>
      </c>
      <c r="C106" s="133"/>
      <c r="D106" s="133"/>
      <c r="E106" s="133"/>
      <c r="F106" s="133"/>
      <c r="G106" s="133"/>
      <c r="H106" s="133">
        <v>75984</v>
      </c>
      <c r="I106" s="133">
        <v>328445</v>
      </c>
      <c r="J106" s="134">
        <v>319457.85599999991</v>
      </c>
    </row>
    <row r="107" spans="1:11" x14ac:dyDescent="0.2">
      <c r="A107" s="131"/>
      <c r="B107" s="132" t="s">
        <v>100</v>
      </c>
      <c r="C107" s="133"/>
      <c r="D107" s="133"/>
      <c r="E107" s="133"/>
      <c r="F107" s="133"/>
      <c r="G107" s="133"/>
      <c r="H107" s="133">
        <v>91678</v>
      </c>
      <c r="I107" s="133">
        <v>330964</v>
      </c>
      <c r="J107" s="134">
        <v>332882.23199999996</v>
      </c>
    </row>
    <row r="108" spans="1:11" ht="16.5" customHeight="1" thickBot="1" x14ac:dyDescent="0.25">
      <c r="A108" s="131" t="s">
        <v>442</v>
      </c>
      <c r="B108" s="132" t="s">
        <v>443</v>
      </c>
      <c r="C108" s="133"/>
      <c r="D108" s="133">
        <v>17193.921097000002</v>
      </c>
      <c r="E108" s="133">
        <v>78175.629795999994</v>
      </c>
      <c r="F108" s="133">
        <v>59999.305699999997</v>
      </c>
      <c r="G108" s="133">
        <v>92959.207999999999</v>
      </c>
      <c r="H108" s="133">
        <v>86494.671699999992</v>
      </c>
      <c r="I108" s="133">
        <v>89033.761099999989</v>
      </c>
      <c r="J108" s="134">
        <v>89110.905199999994</v>
      </c>
    </row>
    <row r="109" spans="1:11" ht="16.5" customHeight="1" thickBot="1" x14ac:dyDescent="0.25">
      <c r="A109" s="117" t="s">
        <v>444</v>
      </c>
      <c r="B109" s="135"/>
      <c r="C109" s="136">
        <v>6085526.1650659963</v>
      </c>
      <c r="D109" s="136">
        <v>6611423.3663270017</v>
      </c>
      <c r="E109" s="136">
        <v>6940448.355742652</v>
      </c>
      <c r="F109" s="136">
        <v>7347749.5893445034</v>
      </c>
      <c r="G109" s="136">
        <v>7836447.9107113639</v>
      </c>
      <c r="H109" s="136">
        <v>8334811.4947674423</v>
      </c>
      <c r="I109" s="136">
        <v>8759264.8637782205</v>
      </c>
      <c r="J109" s="126">
        <v>8981304.9314322006</v>
      </c>
      <c r="K109" s="137"/>
    </row>
    <row r="110" spans="1:11" ht="16.5" customHeight="1" thickBot="1" x14ac:dyDescent="0.25">
      <c r="A110" s="138" t="s">
        <v>445</v>
      </c>
      <c r="B110" s="139"/>
      <c r="C110" s="140"/>
      <c r="D110" s="140"/>
      <c r="E110" s="140"/>
      <c r="F110" s="140"/>
      <c r="G110" s="140"/>
      <c r="H110" s="140"/>
      <c r="I110" s="140"/>
      <c r="J110" s="140"/>
      <c r="K110" s="137"/>
    </row>
    <row r="111" spans="1:11" ht="16.5" customHeight="1" x14ac:dyDescent="0.2">
      <c r="A111" s="141" t="str">
        <f>+A61</f>
        <v>GUARACACHI</v>
      </c>
      <c r="B111" s="142" t="str">
        <f t="shared" ref="B111:J112" si="0">+B65</f>
        <v>GCH09</v>
      </c>
      <c r="C111" s="143">
        <v>304167.35200000001</v>
      </c>
      <c r="D111" s="143">
        <v>362328.33600000001</v>
      </c>
      <c r="E111" s="143">
        <v>345670.74</v>
      </c>
      <c r="F111" s="143">
        <v>479429.598</v>
      </c>
      <c r="G111" s="143">
        <v>420127.47135156026</v>
      </c>
      <c r="H111" s="143">
        <v>459226.69199999992</v>
      </c>
      <c r="I111" s="143">
        <v>240047.45999999993</v>
      </c>
      <c r="J111" s="144">
        <v>381288.42</v>
      </c>
      <c r="K111" s="137"/>
    </row>
    <row r="112" spans="1:11" ht="16.5" customHeight="1" x14ac:dyDescent="0.2">
      <c r="A112" s="145"/>
      <c r="B112" s="146" t="str">
        <f t="shared" si="0"/>
        <v>GCH10</v>
      </c>
      <c r="C112" s="147">
        <v>274064.72799999994</v>
      </c>
      <c r="D112" s="147">
        <v>328187.05200000003</v>
      </c>
      <c r="E112" s="147">
        <v>425317.902</v>
      </c>
      <c r="F112" s="147">
        <v>461289.34800000006</v>
      </c>
      <c r="G112" s="147">
        <v>412122.105063011</v>
      </c>
      <c r="H112" s="147">
        <v>378806.54399999999</v>
      </c>
      <c r="I112" s="147">
        <v>386168.79599999997</v>
      </c>
      <c r="J112" s="148">
        <v>365210.38799999998</v>
      </c>
      <c r="K112" s="137"/>
    </row>
    <row r="113" spans="1:11" ht="16.5" customHeight="1" x14ac:dyDescent="0.2">
      <c r="A113" s="145"/>
      <c r="B113" s="146" t="str">
        <f t="shared" ref="B113:J113" si="1">+B68</f>
        <v>GCH12</v>
      </c>
      <c r="C113" s="147">
        <v>85.295999999999992</v>
      </c>
      <c r="D113" s="147">
        <v>1236.1020000000001</v>
      </c>
      <c r="E113" s="147">
        <v>369449.51400000002</v>
      </c>
      <c r="F113" s="147">
        <v>616226.28899999999</v>
      </c>
      <c r="G113" s="147">
        <v>523552.59600000002</v>
      </c>
      <c r="H113" s="147">
        <v>544179.25994216464</v>
      </c>
      <c r="I113" s="147">
        <v>222713.652</v>
      </c>
      <c r="J113" s="148">
        <v>361213.69200000004</v>
      </c>
      <c r="K113" s="137"/>
    </row>
    <row r="114" spans="1:11" ht="16.5" customHeight="1" x14ac:dyDescent="0.2">
      <c r="A114" s="145" t="str">
        <f t="shared" ref="A114:J115" si="2">+A42</f>
        <v>CHOJLLA</v>
      </c>
      <c r="B114" s="146" t="str">
        <f t="shared" si="2"/>
        <v>CHJ</v>
      </c>
      <c r="C114" s="147">
        <v>106123.25798427663</v>
      </c>
      <c r="D114" s="147">
        <v>124388.162</v>
      </c>
      <c r="E114" s="147">
        <v>135330.64200000002</v>
      </c>
      <c r="F114" s="147">
        <v>141958.08270668716</v>
      </c>
      <c r="G114" s="147">
        <v>127364.10300000003</v>
      </c>
      <c r="H114" s="147">
        <v>130614.54000000001</v>
      </c>
      <c r="I114" s="147">
        <v>50256.089999999975</v>
      </c>
      <c r="J114" s="148">
        <v>127227.77000000002</v>
      </c>
      <c r="K114" s="137"/>
    </row>
    <row r="115" spans="1:11" ht="16.5" customHeight="1" thickBot="1" x14ac:dyDescent="0.25">
      <c r="A115" s="149" t="str">
        <f t="shared" si="2"/>
        <v>YANACACHI</v>
      </c>
      <c r="B115" s="150" t="str">
        <f t="shared" si="2"/>
        <v>YAN</v>
      </c>
      <c r="C115" s="151">
        <v>190812.26330156953</v>
      </c>
      <c r="D115" s="151">
        <v>206067.00099999999</v>
      </c>
      <c r="E115" s="151">
        <v>209706.07100000003</v>
      </c>
      <c r="F115" s="151">
        <v>223487.34744793986</v>
      </c>
      <c r="G115" s="151">
        <v>70571.212</v>
      </c>
      <c r="H115" s="151">
        <v>211398.55300000001</v>
      </c>
      <c r="I115" s="151">
        <v>155757.26200000002</v>
      </c>
      <c r="J115" s="152">
        <v>179334.13099999996</v>
      </c>
      <c r="K115" s="137"/>
    </row>
    <row r="116" spans="1:11" ht="16.5" customHeight="1" thickBot="1" x14ac:dyDescent="0.25">
      <c r="A116" s="153" t="s">
        <v>446</v>
      </c>
      <c r="B116" s="154"/>
      <c r="C116" s="155">
        <v>875252.89728584606</v>
      </c>
      <c r="D116" s="155">
        <v>1022206.6529999999</v>
      </c>
      <c r="E116" s="155">
        <v>1485474.8689999999</v>
      </c>
      <c r="F116" s="155">
        <v>1922390.6651546268</v>
      </c>
      <c r="G116" s="155">
        <v>1553737.4874145715</v>
      </c>
      <c r="H116" s="155">
        <v>1724225.5889421648</v>
      </c>
      <c r="I116" s="155">
        <v>1054943.26</v>
      </c>
      <c r="J116" s="156">
        <v>1414274.4010000001</v>
      </c>
      <c r="K116" s="137"/>
    </row>
    <row r="117" spans="1:11" ht="16.5" customHeight="1" x14ac:dyDescent="0.2">
      <c r="A117" s="157"/>
      <c r="B117" s="139"/>
      <c r="C117" s="140"/>
      <c r="D117" s="140"/>
      <c r="E117" s="140"/>
      <c r="F117" s="140"/>
      <c r="G117" s="140"/>
      <c r="H117" s="140"/>
      <c r="I117" s="140"/>
      <c r="J117" s="140"/>
      <c r="K117" s="137"/>
    </row>
    <row r="118" spans="1:11" ht="12" thickBot="1" x14ac:dyDescent="0.25">
      <c r="A118" s="158"/>
      <c r="J118" s="159"/>
    </row>
    <row r="119" spans="1:11" x14ac:dyDescent="0.2">
      <c r="A119" s="160" t="s">
        <v>447</v>
      </c>
      <c r="B119" s="161"/>
      <c r="C119" s="161"/>
      <c r="D119" s="161"/>
      <c r="E119" s="161"/>
      <c r="F119" s="161"/>
      <c r="G119" s="161"/>
      <c r="H119" s="161"/>
      <c r="I119" s="161"/>
      <c r="J119" s="162"/>
    </row>
    <row r="120" spans="1:11" x14ac:dyDescent="0.2">
      <c r="A120" s="163" t="s">
        <v>448</v>
      </c>
      <c r="B120" s="164"/>
      <c r="C120" s="165">
        <v>2151428.9800358461</v>
      </c>
      <c r="D120" s="165">
        <v>2324157.2736730007</v>
      </c>
      <c r="E120" s="165">
        <v>2322431.2652733331</v>
      </c>
      <c r="F120" s="165">
        <v>2514863.6186996265</v>
      </c>
      <c r="G120" s="165">
        <v>2232992.8565349993</v>
      </c>
      <c r="H120" s="165">
        <v>2439591.151326274</v>
      </c>
      <c r="I120" s="165">
        <v>1715604.4612500006</v>
      </c>
      <c r="J120" s="166">
        <v>2229863.9013999999</v>
      </c>
    </row>
    <row r="121" spans="1:11" x14ac:dyDescent="0.2">
      <c r="A121" s="163" t="s">
        <v>449</v>
      </c>
      <c r="B121" s="164"/>
      <c r="C121" s="165">
        <v>0</v>
      </c>
      <c r="D121" s="165">
        <v>0</v>
      </c>
      <c r="E121" s="165">
        <v>0</v>
      </c>
      <c r="F121" s="165">
        <v>36.528500000000001</v>
      </c>
      <c r="G121" s="165">
        <v>8157.7569999999996</v>
      </c>
      <c r="H121" s="165">
        <v>11450.126</v>
      </c>
      <c r="I121" s="165">
        <v>34911.444000000003</v>
      </c>
      <c r="J121" s="166">
        <v>60383.278999999995</v>
      </c>
    </row>
    <row r="122" spans="1:11" x14ac:dyDescent="0.2">
      <c r="A122" s="163" t="s">
        <v>450</v>
      </c>
      <c r="B122" s="164"/>
      <c r="C122" s="165">
        <v>0</v>
      </c>
      <c r="D122" s="165">
        <v>0</v>
      </c>
      <c r="E122" s="165">
        <v>0</v>
      </c>
      <c r="F122" s="165">
        <v>0</v>
      </c>
      <c r="G122" s="165">
        <v>0</v>
      </c>
      <c r="H122" s="165">
        <v>0</v>
      </c>
      <c r="I122" s="165">
        <v>0</v>
      </c>
      <c r="J122" s="166">
        <v>1065.63625</v>
      </c>
    </row>
    <row r="123" spans="1:11" ht="12" thickBot="1" x14ac:dyDescent="0.25">
      <c r="A123" s="167" t="s">
        <v>58</v>
      </c>
      <c r="B123" s="168"/>
      <c r="C123" s="169">
        <v>58156.17</v>
      </c>
      <c r="D123" s="169">
        <v>64040.52</v>
      </c>
      <c r="E123" s="169">
        <v>64494.2</v>
      </c>
      <c r="F123" s="169">
        <v>79491</v>
      </c>
      <c r="G123" s="169">
        <v>76309.624999999985</v>
      </c>
      <c r="H123" s="169">
        <v>79093.507500000007</v>
      </c>
      <c r="I123" s="169">
        <v>61901.893750000003</v>
      </c>
      <c r="J123" s="170">
        <v>44798.720000000001</v>
      </c>
    </row>
    <row r="124" spans="1:11" ht="12.6" thickBot="1" x14ac:dyDescent="0.3">
      <c r="A124" s="171" t="s">
        <v>451</v>
      </c>
      <c r="B124" s="172"/>
      <c r="C124" s="173">
        <v>2209585.150035846</v>
      </c>
      <c r="D124" s="173">
        <v>2388197.7936730008</v>
      </c>
      <c r="E124" s="173">
        <v>2386925.4652733332</v>
      </c>
      <c r="F124" s="173">
        <v>2594391.1471996265</v>
      </c>
      <c r="G124" s="173">
        <v>2317460.2385349995</v>
      </c>
      <c r="H124" s="173">
        <v>2530134.784826274</v>
      </c>
      <c r="I124" s="173">
        <v>1812417.7990000006</v>
      </c>
      <c r="J124" s="174">
        <v>2336111.5366500001</v>
      </c>
    </row>
    <row r="126" spans="1:11" x14ac:dyDescent="0.2">
      <c r="C126" s="124"/>
      <c r="D126" s="124"/>
      <c r="E126" s="124"/>
      <c r="F126" s="124"/>
      <c r="G126" s="124"/>
      <c r="H126" s="124"/>
      <c r="I126" s="124"/>
      <c r="J126" s="124"/>
    </row>
    <row r="127" spans="1:11" x14ac:dyDescent="0.2">
      <c r="C127" s="124"/>
      <c r="D127" s="124"/>
      <c r="E127" s="124"/>
      <c r="F127" s="124"/>
      <c r="G127" s="124"/>
      <c r="H127" s="124"/>
      <c r="I127" s="124"/>
      <c r="J127" s="124"/>
    </row>
    <row r="128" spans="1:11" x14ac:dyDescent="0.2">
      <c r="C128" s="124"/>
      <c r="D128" s="124"/>
      <c r="E128" s="124"/>
      <c r="F128" s="124"/>
      <c r="G128" s="124"/>
      <c r="H128" s="124"/>
      <c r="I128" s="124"/>
      <c r="J128" s="124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Scenario_100%_RE</vt:lpstr>
      <vt:lpstr>Proyectos Adicionales 100%-RE</vt:lpstr>
      <vt:lpstr>Proyectos </vt:lpstr>
      <vt:lpstr>Eficiencia</vt:lpstr>
      <vt:lpstr>Generacion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2018-11-27T02:13:03Z</dcterms:created>
  <dcterms:modified xsi:type="dcterms:W3CDTF">2018-11-27T03:52:59Z</dcterms:modified>
</cp:coreProperties>
</file>